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883"/>
  </bookViews>
  <sheets>
    <sheet name="Formations" sheetId="1" r:id="rId1"/>
  </sheets>
  <definedNames>
    <definedName name="_xlnm._FilterDatabase" localSheetId="0" hidden="1">Formations!$A$1:$H$2674</definedName>
    <definedName name="Formations">Formations!$A$1:$H$2674</definedName>
  </definedNames>
  <calcPr calcId="144525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D153" i="1"/>
  <c r="C154" i="1"/>
  <c r="D154" i="1"/>
  <c r="D155" i="1"/>
  <c r="D156" i="1"/>
  <c r="C157" i="1"/>
  <c r="D157" i="1"/>
  <c r="D158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D187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D226" i="1"/>
  <c r="C227" i="1"/>
  <c r="D227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D295" i="1"/>
  <c r="C296" i="1"/>
  <c r="D296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D340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D446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D458" i="1"/>
  <c r="C459" i="1"/>
  <c r="D459" i="1"/>
  <c r="C460" i="1"/>
  <c r="D460" i="1"/>
  <c r="C461" i="1"/>
  <c r="D461" i="1"/>
  <c r="C462" i="1"/>
  <c r="D462" i="1"/>
  <c r="D463" i="1"/>
  <c r="C464" i="1"/>
  <c r="D464" i="1"/>
  <c r="C465" i="1"/>
  <c r="D465" i="1"/>
  <c r="C466" i="1"/>
  <c r="D466" i="1"/>
  <c r="C467" i="1"/>
  <c r="D467" i="1"/>
  <c r="C468" i="1"/>
  <c r="D468" i="1"/>
  <c r="D469" i="1"/>
  <c r="C470" i="1"/>
  <c r="D470" i="1"/>
  <c r="C471" i="1"/>
  <c r="D471" i="1"/>
  <c r="C472" i="1"/>
  <c r="D472" i="1"/>
  <c r="D473" i="1"/>
  <c r="D474" i="1"/>
  <c r="D475" i="1"/>
  <c r="C476" i="1"/>
  <c r="D476" i="1"/>
  <c r="C477" i="1"/>
  <c r="D477" i="1"/>
  <c r="C478" i="1"/>
  <c r="D478" i="1"/>
  <c r="D479" i="1"/>
  <c r="D480" i="1"/>
  <c r="C481" i="1"/>
  <c r="D481" i="1"/>
  <c r="C482" i="1"/>
  <c r="D482" i="1"/>
  <c r="C483" i="1"/>
  <c r="D483" i="1"/>
  <c r="D484" i="1"/>
  <c r="D485" i="1"/>
  <c r="C486" i="1"/>
  <c r="D486" i="1"/>
  <c r="D487" i="1"/>
  <c r="C488" i="1"/>
  <c r="D488" i="1"/>
  <c r="C489" i="1"/>
  <c r="D489" i="1"/>
  <c r="D490" i="1"/>
  <c r="D491" i="1"/>
  <c r="D492" i="1"/>
  <c r="C493" i="1"/>
  <c r="D493" i="1"/>
  <c r="C494" i="1"/>
  <c r="D494" i="1"/>
  <c r="D495" i="1"/>
  <c r="D496" i="1"/>
  <c r="C497" i="1"/>
  <c r="D497" i="1"/>
  <c r="C498" i="1"/>
  <c r="D498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D506" i="1"/>
  <c r="C507" i="1"/>
  <c r="D507" i="1"/>
  <c r="D508" i="1"/>
  <c r="C509" i="1"/>
  <c r="D509" i="1"/>
  <c r="C510" i="1"/>
  <c r="D510" i="1"/>
  <c r="C511" i="1"/>
  <c r="D511" i="1"/>
  <c r="C512" i="1"/>
  <c r="D512" i="1"/>
  <c r="D513" i="1"/>
  <c r="C514" i="1"/>
  <c r="D514" i="1"/>
  <c r="C515" i="1"/>
  <c r="D515" i="1"/>
  <c r="C516" i="1"/>
  <c r="D516" i="1"/>
  <c r="D517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D529" i="1"/>
  <c r="D530" i="1"/>
  <c r="D531" i="1"/>
  <c r="D532" i="1"/>
  <c r="C533" i="1"/>
  <c r="D533" i="1"/>
  <c r="C534" i="1"/>
  <c r="D534" i="1"/>
  <c r="C535" i="1"/>
  <c r="D535" i="1"/>
  <c r="D536" i="1"/>
  <c r="C537" i="1"/>
  <c r="D537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D547" i="1"/>
  <c r="C548" i="1"/>
  <c r="D548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D561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D579" i="1"/>
  <c r="C580" i="1"/>
  <c r="D580" i="1"/>
  <c r="C581" i="1"/>
  <c r="D581" i="1"/>
  <c r="C582" i="1"/>
  <c r="D582" i="1"/>
  <c r="D583" i="1"/>
  <c r="C584" i="1"/>
  <c r="D584" i="1"/>
  <c r="C585" i="1"/>
  <c r="D585" i="1"/>
  <c r="C586" i="1"/>
  <c r="D586" i="1"/>
  <c r="D587" i="1"/>
  <c r="C588" i="1"/>
  <c r="D588" i="1"/>
  <c r="C589" i="1"/>
  <c r="D589" i="1"/>
  <c r="C590" i="1"/>
  <c r="D590" i="1"/>
  <c r="C591" i="1"/>
  <c r="D591" i="1"/>
  <c r="D592" i="1"/>
  <c r="C593" i="1"/>
  <c r="D593" i="1"/>
  <c r="D594" i="1"/>
  <c r="C595" i="1"/>
  <c r="D595" i="1"/>
  <c r="C596" i="1"/>
  <c r="D596" i="1"/>
  <c r="C597" i="1"/>
  <c r="D597" i="1"/>
  <c r="C598" i="1"/>
  <c r="D598" i="1"/>
  <c r="D599" i="1"/>
  <c r="C600" i="1"/>
  <c r="D600" i="1"/>
  <c r="C601" i="1"/>
  <c r="D601" i="1"/>
  <c r="D602" i="1"/>
  <c r="C603" i="1"/>
  <c r="D603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D625" i="1"/>
  <c r="C626" i="1"/>
  <c r="D626" i="1"/>
  <c r="D627" i="1"/>
  <c r="C628" i="1"/>
  <c r="D628" i="1"/>
  <c r="C629" i="1"/>
  <c r="D629" i="1"/>
  <c r="C630" i="1"/>
  <c r="D630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D647" i="1"/>
  <c r="C648" i="1"/>
  <c r="D648" i="1"/>
  <c r="C649" i="1"/>
  <c r="D649" i="1"/>
  <c r="D650" i="1"/>
  <c r="D651" i="1"/>
  <c r="C652" i="1"/>
  <c r="D652" i="1"/>
  <c r="D653" i="1"/>
  <c r="D654" i="1"/>
  <c r="C655" i="1"/>
  <c r="D655" i="1"/>
  <c r="C656" i="1"/>
  <c r="D656" i="1"/>
  <c r="D657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D674" i="1"/>
  <c r="C675" i="1"/>
  <c r="D675" i="1"/>
  <c r="C676" i="1"/>
  <c r="D676" i="1"/>
  <c r="C677" i="1"/>
  <c r="D677" i="1"/>
  <c r="C678" i="1"/>
  <c r="D678" i="1"/>
  <c r="C679" i="1"/>
  <c r="D679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D688" i="1"/>
  <c r="D689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D765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D777" i="1"/>
  <c r="C778" i="1"/>
  <c r="D778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D806" i="1"/>
  <c r="C807" i="1"/>
  <c r="D807" i="1"/>
  <c r="D808" i="1"/>
  <c r="C809" i="1"/>
  <c r="D809" i="1"/>
  <c r="C810" i="1"/>
  <c r="D810" i="1"/>
  <c r="C811" i="1"/>
  <c r="D811" i="1"/>
  <c r="C812" i="1"/>
  <c r="D812" i="1"/>
  <c r="C813" i="1"/>
  <c r="D813" i="1"/>
  <c r="D814" i="1"/>
  <c r="D815" i="1"/>
  <c r="C816" i="1"/>
  <c r="D816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D827" i="1"/>
  <c r="C828" i="1"/>
  <c r="D828" i="1"/>
  <c r="D829" i="1"/>
  <c r="D830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D858" i="1"/>
  <c r="C859" i="1"/>
  <c r="D859" i="1"/>
  <c r="D860" i="1"/>
  <c r="D861" i="1"/>
  <c r="D862" i="1"/>
  <c r="C863" i="1"/>
  <c r="D863" i="1"/>
  <c r="C864" i="1"/>
  <c r="D864" i="1"/>
  <c r="C865" i="1"/>
  <c r="D865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D879" i="1"/>
  <c r="C880" i="1"/>
  <c r="D880" i="1"/>
  <c r="D881" i="1"/>
  <c r="C882" i="1"/>
  <c r="D882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D895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D913" i="1"/>
  <c r="C914" i="1"/>
  <c r="D914" i="1"/>
  <c r="C915" i="1"/>
  <c r="D915" i="1"/>
  <c r="C916" i="1"/>
  <c r="D916" i="1"/>
  <c r="C917" i="1"/>
  <c r="D917" i="1"/>
  <c r="C918" i="1"/>
  <c r="D918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D934" i="1"/>
  <c r="C935" i="1"/>
  <c r="D935" i="1"/>
  <c r="C936" i="1"/>
  <c r="D936" i="1"/>
  <c r="C937" i="1"/>
  <c r="D937" i="1"/>
  <c r="C938" i="1"/>
  <c r="D938" i="1"/>
  <c r="D939" i="1"/>
  <c r="C940" i="1"/>
  <c r="D940" i="1"/>
  <c r="D941" i="1"/>
  <c r="C942" i="1"/>
  <c r="D942" i="1"/>
  <c r="D943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D955" i="1"/>
  <c r="C956" i="1"/>
  <c r="D956" i="1"/>
  <c r="C957" i="1"/>
  <c r="D957" i="1"/>
  <c r="D958" i="1"/>
  <c r="C959" i="1"/>
  <c r="D959" i="1"/>
  <c r="C960" i="1"/>
  <c r="D960" i="1"/>
  <c r="D961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D1007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D1035" i="1"/>
  <c r="C1036" i="1"/>
  <c r="D1036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D1053" i="1"/>
  <c r="C1054" i="1"/>
  <c r="D1054" i="1"/>
  <c r="C1055" i="1"/>
  <c r="D1055" i="1"/>
  <c r="C1056" i="1"/>
  <c r="D1056" i="1"/>
  <c r="C1057" i="1"/>
  <c r="D1057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D1070" i="1"/>
  <c r="C1071" i="1"/>
  <c r="D1071" i="1"/>
  <c r="C1072" i="1"/>
  <c r="D1072" i="1"/>
  <c r="C1073" i="1"/>
  <c r="D1073" i="1"/>
  <c r="C1074" i="1"/>
  <c r="D1074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D1140" i="1"/>
  <c r="C1141" i="1"/>
  <c r="D1141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D1153" i="1"/>
  <c r="C1154" i="1"/>
  <c r="D1154" i="1"/>
  <c r="C1155" i="1"/>
  <c r="D1155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D1174" i="1"/>
  <c r="C1175" i="1"/>
  <c r="D1175" i="1"/>
  <c r="C1176" i="1"/>
  <c r="D1176" i="1"/>
  <c r="C1177" i="1"/>
  <c r="D1177" i="1"/>
  <c r="C1178" i="1"/>
  <c r="D1178" i="1"/>
  <c r="D1179" i="1"/>
  <c r="D1180" i="1"/>
  <c r="C1181" i="1"/>
  <c r="D1181" i="1"/>
  <c r="C1182" i="1"/>
  <c r="D1182" i="1"/>
  <c r="D1183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D1194" i="1"/>
  <c r="C1195" i="1"/>
  <c r="D1195" i="1"/>
  <c r="D1196" i="1"/>
  <c r="D1197" i="1"/>
  <c r="C1198" i="1"/>
  <c r="D1198" i="1"/>
  <c r="D1199" i="1"/>
  <c r="C1200" i="1"/>
  <c r="D1200" i="1"/>
  <c r="C1201" i="1"/>
  <c r="D1201" i="1"/>
  <c r="C1202" i="1"/>
  <c r="D1202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D1250" i="1"/>
  <c r="C1251" i="1"/>
  <c r="D1251" i="1"/>
  <c r="C1252" i="1"/>
  <c r="D1252" i="1"/>
  <c r="C1253" i="1"/>
  <c r="D1253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D1299" i="1"/>
  <c r="C1300" i="1"/>
  <c r="D1300" i="1"/>
  <c r="C1301" i="1"/>
  <c r="D1301" i="1"/>
  <c r="C1302" i="1"/>
  <c r="D1302" i="1"/>
  <c r="D1303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D1347" i="1"/>
  <c r="C1348" i="1"/>
  <c r="D1348" i="1"/>
  <c r="C1349" i="1"/>
  <c r="D1349" i="1"/>
  <c r="C1350" i="1"/>
  <c r="D1350" i="1"/>
  <c r="D1351" i="1"/>
  <c r="C1352" i="1"/>
  <c r="D1352" i="1"/>
  <c r="D1353" i="1"/>
  <c r="D1354" i="1"/>
  <c r="D1355" i="1"/>
  <c r="D1356" i="1"/>
  <c r="D1357" i="1"/>
  <c r="D1358" i="1"/>
  <c r="D1359" i="1"/>
  <c r="C1360" i="1"/>
  <c r="D1360" i="1"/>
  <c r="C1361" i="1"/>
  <c r="D1361" i="1"/>
  <c r="C1362" i="1"/>
  <c r="D1362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D1380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D1663" i="1"/>
  <c r="C1664" i="1"/>
  <c r="D1664" i="1"/>
  <c r="C1665" i="1"/>
  <c r="D1665" i="1"/>
  <c r="C1666" i="1"/>
  <c r="D1666" i="1"/>
  <c r="C1667" i="1"/>
  <c r="D1667" i="1"/>
  <c r="D1668" i="1"/>
  <c r="D1669" i="1"/>
  <c r="C1670" i="1"/>
  <c r="D1670" i="1"/>
  <c r="C1671" i="1"/>
  <c r="D1671" i="1"/>
  <c r="C1672" i="1"/>
  <c r="D1672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D1914" i="1"/>
  <c r="D1915" i="1"/>
  <c r="D1916" i="1"/>
  <c r="D1917" i="1"/>
  <c r="D1918" i="1"/>
  <c r="C1919" i="1"/>
  <c r="D1919" i="1"/>
  <c r="C1920" i="1"/>
  <c r="D1920" i="1"/>
  <c r="C1921" i="1"/>
  <c r="D1921" i="1"/>
  <c r="C1922" i="1"/>
  <c r="D1922" i="1"/>
  <c r="C1923" i="1"/>
  <c r="D1923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D2017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C2387" i="1"/>
  <c r="D2387" i="1"/>
  <c r="D2388" i="1"/>
  <c r="C2389" i="1"/>
  <c r="D2389" i="1"/>
  <c r="C2390" i="1"/>
  <c r="D2390" i="1"/>
  <c r="C2391" i="1"/>
  <c r="D2391" i="1"/>
  <c r="D2392" i="1"/>
  <c r="D2393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D2410" i="1"/>
  <c r="C2411" i="1"/>
  <c r="D2411" i="1"/>
  <c r="C2412" i="1"/>
  <c r="D2412" i="1"/>
  <c r="D2413" i="1"/>
  <c r="D2414" i="1"/>
  <c r="C2415" i="1"/>
  <c r="D2415" i="1"/>
  <c r="C2416" i="1"/>
  <c r="D2416" i="1"/>
  <c r="D2417" i="1"/>
  <c r="D2418" i="1"/>
  <c r="C2419" i="1"/>
  <c r="D2419" i="1"/>
  <c r="C2420" i="1"/>
  <c r="D2420" i="1"/>
  <c r="C2421" i="1"/>
  <c r="D2421" i="1"/>
  <c r="C2422" i="1"/>
  <c r="D2422" i="1"/>
  <c r="C2423" i="1"/>
  <c r="D2423" i="1"/>
  <c r="D2424" i="1"/>
  <c r="C2425" i="1"/>
  <c r="D2425" i="1"/>
  <c r="D2426" i="1"/>
  <c r="C2427" i="1"/>
  <c r="D2427" i="1"/>
  <c r="D2428" i="1"/>
  <c r="D2429" i="1"/>
  <c r="D2430" i="1"/>
  <c r="D2431" i="1"/>
  <c r="C2432" i="1"/>
  <c r="D2432" i="1"/>
  <c r="C2433" i="1"/>
  <c r="D2433" i="1"/>
  <c r="C2434" i="1"/>
  <c r="D2434" i="1"/>
  <c r="D2435" i="1"/>
  <c r="D2436" i="1"/>
  <c r="C2437" i="1"/>
  <c r="D2437" i="1"/>
  <c r="D2438" i="1"/>
  <c r="C2439" i="1"/>
  <c r="D2439" i="1"/>
  <c r="D2440" i="1"/>
  <c r="D2441" i="1"/>
  <c r="C2442" i="1"/>
  <c r="D2442" i="1"/>
  <c r="D2443" i="1"/>
  <c r="D2444" i="1"/>
  <c r="D2445" i="1"/>
  <c r="D2446" i="1"/>
  <c r="D2447" i="1"/>
  <c r="D2448" i="1"/>
  <c r="D2449" i="1"/>
  <c r="D2450" i="1"/>
  <c r="D2451" i="1"/>
  <c r="D2452" i="1"/>
  <c r="C2453" i="1"/>
  <c r="D2453" i="1"/>
  <c r="D2454" i="1"/>
  <c r="C2455" i="1"/>
  <c r="D2455" i="1"/>
  <c r="C2456" i="1"/>
  <c r="D2456" i="1"/>
  <c r="C2457" i="1"/>
  <c r="D2457" i="1"/>
  <c r="D2458" i="1"/>
  <c r="C2459" i="1"/>
  <c r="D2459" i="1"/>
  <c r="D2460" i="1"/>
  <c r="C2461" i="1"/>
  <c r="D2461" i="1"/>
  <c r="C2462" i="1"/>
  <c r="D2462" i="1"/>
  <c r="D2463" i="1"/>
  <c r="D2464" i="1"/>
  <c r="C2465" i="1"/>
  <c r="D2465" i="1"/>
  <c r="D2466" i="1"/>
  <c r="C2467" i="1"/>
  <c r="D2467" i="1"/>
  <c r="D2468" i="1"/>
  <c r="C2469" i="1"/>
  <c r="D2469" i="1"/>
  <c r="C2470" i="1"/>
  <c r="D2470" i="1"/>
  <c r="D2471" i="1"/>
  <c r="C2472" i="1"/>
  <c r="D2472" i="1"/>
  <c r="D2473" i="1"/>
  <c r="D2474" i="1"/>
  <c r="C2475" i="1"/>
  <c r="D2475" i="1"/>
  <c r="D2476" i="1"/>
  <c r="D2477" i="1"/>
  <c r="D2478" i="1"/>
  <c r="C2479" i="1"/>
  <c r="D2479" i="1"/>
  <c r="C2480" i="1"/>
  <c r="D2480" i="1"/>
  <c r="C2481" i="1"/>
  <c r="D2481" i="1"/>
  <c r="C2482" i="1"/>
  <c r="D2482" i="1"/>
  <c r="D2483" i="1"/>
  <c r="C2484" i="1"/>
  <c r="D2484" i="1"/>
  <c r="C2485" i="1"/>
  <c r="D2485" i="1"/>
  <c r="C2486" i="1"/>
  <c r="D2486" i="1"/>
  <c r="D2487" i="1"/>
  <c r="D2488" i="1"/>
  <c r="C2489" i="1"/>
  <c r="D2489" i="1"/>
  <c r="D2490" i="1"/>
  <c r="D2491" i="1"/>
  <c r="D2492" i="1"/>
  <c r="D2493" i="1"/>
  <c r="D2494" i="1"/>
  <c r="C2495" i="1"/>
  <c r="D2495" i="1"/>
  <c r="D2496" i="1"/>
  <c r="C2497" i="1"/>
  <c r="D2497" i="1"/>
  <c r="D2498" i="1"/>
  <c r="C2499" i="1"/>
  <c r="D2499" i="1"/>
  <c r="D2500" i="1"/>
  <c r="C2501" i="1"/>
  <c r="D2501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D2517" i="1"/>
  <c r="D2518" i="1"/>
  <c r="D2519" i="1"/>
  <c r="D2520" i="1"/>
  <c r="C2521" i="1"/>
  <c r="D2521" i="1"/>
  <c r="D2522" i="1"/>
  <c r="D2523" i="1"/>
  <c r="D2524" i="1"/>
  <c r="D2525" i="1"/>
  <c r="D2526" i="1"/>
  <c r="D2527" i="1"/>
  <c r="D2528" i="1"/>
  <c r="D2529" i="1"/>
  <c r="C2530" i="1"/>
  <c r="D2530" i="1"/>
  <c r="C2531" i="1"/>
  <c r="D2531" i="1"/>
  <c r="C2532" i="1"/>
  <c r="D2532" i="1"/>
  <c r="C2533" i="1"/>
  <c r="D2533" i="1"/>
  <c r="D2534" i="1"/>
  <c r="C2535" i="1"/>
  <c r="D2535" i="1"/>
  <c r="D2536" i="1"/>
  <c r="D2537" i="1"/>
  <c r="D2538" i="1"/>
  <c r="D2539" i="1"/>
  <c r="D2540" i="1"/>
  <c r="D2541" i="1"/>
  <c r="D2542" i="1"/>
  <c r="D2543" i="1"/>
  <c r="C2544" i="1"/>
  <c r="D2544" i="1"/>
  <c r="D2545" i="1"/>
  <c r="D2546" i="1"/>
  <c r="C2547" i="1"/>
  <c r="D2547" i="1"/>
  <c r="C2548" i="1"/>
  <c r="D2548" i="1"/>
  <c r="C2549" i="1"/>
  <c r="D2549" i="1"/>
  <c r="C2550" i="1"/>
  <c r="D2550" i="1"/>
  <c r="C2551" i="1"/>
  <c r="D2551" i="1"/>
  <c r="D2552" i="1"/>
  <c r="C2553" i="1"/>
  <c r="D2553" i="1"/>
  <c r="C2554" i="1"/>
  <c r="D2554" i="1"/>
  <c r="D2555" i="1"/>
  <c r="D2556" i="1"/>
  <c r="D2557" i="1"/>
  <c r="D2558" i="1"/>
  <c r="D2559" i="1"/>
  <c r="C2560" i="1"/>
  <c r="D2560" i="1"/>
  <c r="D2561" i="1"/>
  <c r="C2562" i="1"/>
  <c r="D2562" i="1"/>
  <c r="D2563" i="1"/>
  <c r="D2564" i="1"/>
  <c r="C2565" i="1"/>
  <c r="D2565" i="1"/>
  <c r="D2566" i="1"/>
  <c r="D2567" i="1"/>
  <c r="D2568" i="1"/>
  <c r="C2569" i="1"/>
  <c r="D2569" i="1"/>
  <c r="C2570" i="1"/>
  <c r="D2570" i="1"/>
  <c r="C2571" i="1"/>
  <c r="D2571" i="1"/>
  <c r="C2572" i="1"/>
  <c r="D2572" i="1"/>
  <c r="D2573" i="1"/>
  <c r="D2574" i="1"/>
  <c r="C2575" i="1"/>
  <c r="D2575" i="1"/>
  <c r="C2576" i="1"/>
  <c r="D2576" i="1"/>
  <c r="D2577" i="1"/>
  <c r="D2578" i="1"/>
  <c r="D2579" i="1"/>
  <c r="D2580" i="1"/>
  <c r="C2581" i="1"/>
  <c r="D2581" i="1"/>
  <c r="C2582" i="1"/>
  <c r="D2582" i="1"/>
  <c r="C2583" i="1"/>
  <c r="D2583" i="1"/>
  <c r="C2584" i="1"/>
  <c r="D2584" i="1"/>
  <c r="D2585" i="1"/>
  <c r="C2586" i="1"/>
  <c r="D2586" i="1"/>
  <c r="C2587" i="1"/>
  <c r="D2587" i="1"/>
  <c r="C2588" i="1"/>
  <c r="D2588" i="1"/>
  <c r="C2589" i="1"/>
  <c r="D2589" i="1"/>
  <c r="C2590" i="1"/>
  <c r="D2590" i="1"/>
  <c r="D2591" i="1"/>
  <c r="D2592" i="1"/>
  <c r="D2593" i="1"/>
  <c r="D2594" i="1"/>
  <c r="D2595" i="1"/>
  <c r="D2596" i="1"/>
  <c r="C2597" i="1"/>
  <c r="D2597" i="1"/>
  <c r="C2598" i="1"/>
  <c r="D2598" i="1"/>
  <c r="C2599" i="1"/>
  <c r="D2599" i="1"/>
  <c r="C2600" i="1"/>
  <c r="D2600" i="1"/>
  <c r="C2601" i="1"/>
  <c r="D2601" i="1"/>
  <c r="D2602" i="1"/>
  <c r="D2603" i="1"/>
  <c r="D2604" i="1"/>
  <c r="D2605" i="1"/>
  <c r="D2606" i="1"/>
  <c r="C2607" i="1"/>
  <c r="D2607" i="1"/>
  <c r="C2608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C2620" i="1"/>
  <c r="D2620" i="1"/>
  <c r="D2621" i="1"/>
  <c r="D2622" i="1"/>
  <c r="D2623" i="1"/>
  <c r="C2624" i="1"/>
  <c r="D2624" i="1"/>
  <c r="D2625" i="1"/>
  <c r="D2626" i="1"/>
  <c r="D2627" i="1"/>
  <c r="D2628" i="1"/>
  <c r="D2629" i="1"/>
  <c r="D2630" i="1"/>
  <c r="D2631" i="1"/>
  <c r="C2632" i="1"/>
  <c r="D2632" i="1"/>
  <c r="D2633" i="1"/>
  <c r="D2634" i="1"/>
  <c r="C2635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</calcChain>
</file>

<file path=xl/sharedStrings.xml><?xml version="1.0" encoding="utf-8"?>
<sst xmlns="http://schemas.openxmlformats.org/spreadsheetml/2006/main" count="13366" uniqueCount="3283">
  <si>
    <t>Niveau</t>
  </si>
  <si>
    <t>Intitulé de la formation</t>
  </si>
  <si>
    <t>Lien vers RNCP</t>
  </si>
  <si>
    <t>Lien vers Certif Info</t>
  </si>
  <si>
    <t>Code CPF</t>
  </si>
  <si>
    <t>Début de validité</t>
  </si>
  <si>
    <t>Fin de validité</t>
  </si>
  <si>
    <t>Organismes certificateurs</t>
  </si>
  <si>
    <t>Niveau I</t>
  </si>
  <si>
    <t>Analyste financier international (MS)</t>
  </si>
  <si>
    <t>01/01/2015</t>
  </si>
  <si>
    <t>31/12/2016</t>
  </si>
  <si>
    <t>Neoma Business School</t>
  </si>
  <si>
    <t>Architecte logiciel, développeur(euse) d'application</t>
  </si>
  <si>
    <t>Ecole des technologies numériques appliquées</t>
  </si>
  <si>
    <t>Auditeur contrôleur de gestion</t>
  </si>
  <si>
    <t>École supérieure de gestion et finance - Pôle ESG</t>
  </si>
  <si>
    <t>Auditeur interne</t>
  </si>
  <si>
    <t>Institut français de l'audit et du contrôle internes (IFACI)</t>
  </si>
  <si>
    <t>Auditeur(trice) et contrôleur(euse) de gestion</t>
  </si>
  <si>
    <t>Institut Léonard de Vinci (GEMS Paris)</t>
  </si>
  <si>
    <t>Cadre dirigeant (dernière session 2016)</t>
  </si>
  <si>
    <t>Ecole supérieure des sciences économiques et commerciales  (Groupe ESSEC)</t>
  </si>
  <si>
    <t>Cadre dirigeant (dernière session 2019)</t>
  </si>
  <si>
    <t>Certificat d'aptitude aux fonctions de directeur d'établissement ou de service d'intervention sociale</t>
  </si>
  <si>
    <t>Ministère des affaires sociales et de la santé</t>
  </si>
  <si>
    <t>Chanteur(se) professionnel(le) soliste (concertiste ou opéra)</t>
  </si>
  <si>
    <t>Ecole normale de musique de Paris - Alfred Cortot</t>
  </si>
  <si>
    <t>Chargé(e) de projets en management interculturel, communication et événementiel</t>
  </si>
  <si>
    <t>Ecole supérieure de traduction et relations internationales / Institut catholiqu</t>
  </si>
  <si>
    <t>Chargé(e) de traduction spécialisée et d'interprétation de liaison</t>
  </si>
  <si>
    <t>Chef de projet en conception de systèmes informatiques</t>
  </si>
  <si>
    <t>Association consulaire interprofessionnellle de formation permanente (ACIFOP Lib</t>
  </si>
  <si>
    <t>Chef de projet en ingénierie documentaire</t>
  </si>
  <si>
    <t>Conservatoire national des arts et métiers (CNAM)</t>
  </si>
  <si>
    <t>Chef de projet ERP (progiciels de gestion intégrée)</t>
  </si>
  <si>
    <t>CESI</t>
  </si>
  <si>
    <t>Chef de projet système d'information</t>
  </si>
  <si>
    <t>Groupe 4</t>
  </si>
  <si>
    <t>Chef de projet systèmes embarqués</t>
  </si>
  <si>
    <t>Ecole supérieure technologies électronique informatique infographie (ESTEI)</t>
  </si>
  <si>
    <t>Consultant en relations européennes et lobbying</t>
  </si>
  <si>
    <t>Institut catholique de Paris</t>
  </si>
  <si>
    <t>Créateur industriel</t>
  </si>
  <si>
    <t>Ecole nationale supérieure de création industrielle (ENSCI)</t>
  </si>
  <si>
    <t>Designer industriel (dernière session 2018)</t>
  </si>
  <si>
    <t>CREAPOLE SA</t>
  </si>
  <si>
    <t>Designer-manager de projet</t>
  </si>
  <si>
    <t>Créasud - Ecole de Condé Bordeaux, Ecole de Condé Lyon, Ecole de Condé Paris</t>
  </si>
  <si>
    <t>Diplôme de FBS  programme grande école</t>
  </si>
  <si>
    <t>France business school (FBS) - Campus d'Amiens, France business school (FBS) - C</t>
  </si>
  <si>
    <t>Diplôme de gestion des entreprises pour dirigeants de HEC executive education</t>
  </si>
  <si>
    <t>HEC executive education</t>
  </si>
  <si>
    <t>Diplôme de l'ESC La Rochelle programme grande école</t>
  </si>
  <si>
    <t>Ecole supérieure de commerce de La Rochelle - Groupe Sup de Co La Rochelle</t>
  </si>
  <si>
    <t>Diplôme de l'ESC Pau - programme grande école</t>
  </si>
  <si>
    <t>Groupe ESC Pau - programme ESC</t>
  </si>
  <si>
    <t>Diplôme de l'ESSCA Angers programme grande école</t>
  </si>
  <si>
    <t>École supérieure des sciences commerciales d'Angers (ESSCA) - Angers</t>
  </si>
  <si>
    <t>Diplôme de l'ESSEC programme grande école</t>
  </si>
  <si>
    <t>Diplôme de l'ICD programme grande école</t>
  </si>
  <si>
    <t>Institut international du commerce et du développement - Paris, Institut interna</t>
  </si>
  <si>
    <t>Diplôme de l'INSEEC Business School Paris -Bordeaux - Alpes Savoie programme grande école</t>
  </si>
  <si>
    <t>Institut des hautes études économiques et commerciales (INSEEC) - Alpes-Savoie,</t>
  </si>
  <si>
    <t>Diplôme de paysagiste (DPLG)</t>
  </si>
  <si>
    <t>Ecole nationale supérieure d'architecture et de paysage de Bordeaux, Ecole natio</t>
  </si>
  <si>
    <t>Diplôme d'Etat de sage-femme</t>
  </si>
  <si>
    <t>Ministère de l'enseignement supérieur et de la recherche, Ministère des affaires</t>
  </si>
  <si>
    <t>Diplôme d'État d'infirmier anesthésiste</t>
  </si>
  <si>
    <t>Diplôme d'Etat d'ingénierie sociale</t>
  </si>
  <si>
    <t>Diplôme d'expertise comptable</t>
  </si>
  <si>
    <t>Ministère de l'enseignement supérieur et de la recherche</t>
  </si>
  <si>
    <t>Diplôme ESC Grenoble programme grande école</t>
  </si>
  <si>
    <t>Grenoble école de management</t>
  </si>
  <si>
    <t>Diplôme ESC Reims</t>
  </si>
  <si>
    <t>Reims Management School - programme ESC</t>
  </si>
  <si>
    <t>Diplôme ESC Toulouse programme grande école</t>
  </si>
  <si>
    <t>Toulouse Business School (TBS)</t>
  </si>
  <si>
    <t>Diplôme national d'oenologue</t>
  </si>
  <si>
    <t>École nationale supérieure agronomique de Toulouse (ENSAT) / Institut national p</t>
  </si>
  <si>
    <t>Diplôme supérieur de comptabilité et de gestion</t>
  </si>
  <si>
    <t>Ministère de l'éducation nationale</t>
  </si>
  <si>
    <t>Directeur (trice) de la collecte de fonds et du mécénat</t>
  </si>
  <si>
    <t>Association française des fundraisers</t>
  </si>
  <si>
    <t>Directeur artistique en communication visuelle et multimédia</t>
  </si>
  <si>
    <t>Institut de communication bordelais (ICB) - Ecole de communication visuelle Bord</t>
  </si>
  <si>
    <t>Directeur artistique en design graphique</t>
  </si>
  <si>
    <t>Autograf</t>
  </si>
  <si>
    <t>Directeur de la communication</t>
  </si>
  <si>
    <t>European communication school (ECS)</t>
  </si>
  <si>
    <t>Directeur marketing et commercial</t>
  </si>
  <si>
    <t>Institut français de gestion (IFG)</t>
  </si>
  <si>
    <t>Directeur technique des entreprises de spectacle vivant</t>
  </si>
  <si>
    <t>Institut supérieur des techniques du spectacle (ISTS)</t>
  </si>
  <si>
    <t>Directeur(trice) artistique en communication visuelle et design numérique</t>
  </si>
  <si>
    <t>Ecole Intuit / LAB</t>
  </si>
  <si>
    <t>Dirigeant d'entreprise (dernière session 2017)</t>
  </si>
  <si>
    <t>Dirigeant d'entreprise (dernière session 2020)</t>
  </si>
  <si>
    <t>Ecole de management de Lyon - programme ESC (EM Lyon)</t>
  </si>
  <si>
    <t>Dirigeant d'entreprise de l'économie sociale</t>
  </si>
  <si>
    <t>École de l'entrepreneuriat en économie sociale (EEES)</t>
  </si>
  <si>
    <t>Entrepreneur-dirigeant</t>
  </si>
  <si>
    <t>European school of advanced management</t>
  </si>
  <si>
    <t>Expert en audit et contrôle de gestion</t>
  </si>
  <si>
    <t>Institut supérieur européen de gestion (ISEG)</t>
  </si>
  <si>
    <t>Expert en audit interne et contrôle de gestion</t>
  </si>
  <si>
    <t>Expert en contrôle de gestion et pilotage de la performance</t>
  </si>
  <si>
    <t>France business school (FBS) - Campus de Brest</t>
  </si>
  <si>
    <t>Expert en économie solidaire et logiques de marché</t>
  </si>
  <si>
    <t>Expert en génie industriel, produits et services</t>
  </si>
  <si>
    <t>CentraleSupélec</t>
  </si>
  <si>
    <t>Expert en gestion de patrimoine</t>
  </si>
  <si>
    <t>Université d'Auvergne - Clermont-Ferrand 1</t>
  </si>
  <si>
    <t>Expert en gestion fiscale d'entreprise (MS)</t>
  </si>
  <si>
    <t>SKEMA Business school  - Paris</t>
  </si>
  <si>
    <t>Expert en gestion globale des risques</t>
  </si>
  <si>
    <t>KEDGE Business School - Aquitaine</t>
  </si>
  <si>
    <t>Expert en gestion globale des risques technologiques et environnementaux</t>
  </si>
  <si>
    <t>Institut national polytechnique de Toulouse (INPT)</t>
  </si>
  <si>
    <t>Expert en gestion patrimoniale et financière</t>
  </si>
  <si>
    <t>Expert en ingénierie de développement local</t>
  </si>
  <si>
    <t>Centre international d'études pour le développement local (CIEDEL)</t>
  </si>
  <si>
    <t>Expert en ingénierie des biotechnologies</t>
  </si>
  <si>
    <t>Institut supérieur des biotechnologies - Sup Biotech Paris</t>
  </si>
  <si>
    <t>Expert en ingénierie des systèmes informatiques ouverts</t>
  </si>
  <si>
    <t>Ecole centrale des arts et manufactures (ECP)</t>
  </si>
  <si>
    <t>Expert en ingénierie du logiciel</t>
  </si>
  <si>
    <t>In'tech INFO - Institut privé des NTI (groupe ESIEA)</t>
  </si>
  <si>
    <t>Expert en ingénierie informatique (dernière session 2015)</t>
  </si>
  <si>
    <t>IONIS</t>
  </si>
  <si>
    <t>Expert en ingénierie informatique (dernière session 2018)</t>
  </si>
  <si>
    <t>Ecole pour l'informatique et les techniques avancées (EPITA)</t>
  </si>
  <si>
    <t>Expert en stratégie digitale</t>
  </si>
  <si>
    <t>Ecad consultants, IESA Multimédia</t>
  </si>
  <si>
    <t>Expert en système informatique</t>
  </si>
  <si>
    <t>INGETIS</t>
  </si>
  <si>
    <t>Expert en systèmes d'information</t>
  </si>
  <si>
    <t>Partner formation</t>
  </si>
  <si>
    <t>Expert en technologies de l'information</t>
  </si>
  <si>
    <t>Ecole pour l'informatique et les nouvelles technologies</t>
  </si>
  <si>
    <t>Expert financier</t>
  </si>
  <si>
    <t>Expert financier et administratif</t>
  </si>
  <si>
    <t>Institut des hautes études comptables et financières (IHECF)</t>
  </si>
  <si>
    <t>Expert(e) en informatique et système d'information</t>
  </si>
  <si>
    <t>Ingésup</t>
  </si>
  <si>
    <t>Expert(e) en ingénierie de la communication numérique</t>
  </si>
  <si>
    <t>Hautes études des technologies de l'information et de la communication</t>
  </si>
  <si>
    <t>ICN programme grande école</t>
  </si>
  <si>
    <t>ICN Business School - groupe ICN Ecole de management (ICN) / Université de Lorra</t>
  </si>
  <si>
    <t>Ingénieur d'affaires - Toulon</t>
  </si>
  <si>
    <t>KEDGE business school</t>
  </si>
  <si>
    <t>Ingénieur diplômé de de l'école d'ingénieurs du Littoral-Côte d'Opale de l'université du Littoral spécialité génie industriel</t>
  </si>
  <si>
    <t>École d'ingénieurs du Littoral Côte d'Opale/ Université du Littoral - Côte d'Opa</t>
  </si>
  <si>
    <t>Ingénieur diplômé de l'ECAM Rennes, Louis de Broglie</t>
  </si>
  <si>
    <t>ECAM Renne, Louis de Broglie</t>
  </si>
  <si>
    <t>Ingénieur diplômé de l'ECAM Rennes, Louis de Broglie spécialité génie industriel en partenariat avec l'ITII Bretagne</t>
  </si>
  <si>
    <t>ECAM Renne, Louis de Broglie, Institut des techniques d'ingénieur de l'industrie</t>
  </si>
  <si>
    <t>Ingénieur diplômé de l'ECAM Strasbourg-Europe</t>
  </si>
  <si>
    <t>ECAM Strasbourg-Europe</t>
  </si>
  <si>
    <t>Ingénieur diplômé de l'école catholique d'arts et métiers de Lyon</t>
  </si>
  <si>
    <t>Ecole catholique d'arts et métiers - Lyon</t>
  </si>
  <si>
    <t>Ingénieur diplômé de l'école centrale de Lille</t>
  </si>
  <si>
    <t>Ecole centrale de Lille (EC Lille)</t>
  </si>
  <si>
    <t>Ingénieur diplômé de l'école centrale de Lyon</t>
  </si>
  <si>
    <t>Ecole centrale de Lyon / Université de Lyon</t>
  </si>
  <si>
    <t>Ingénieur diplômé de l'école centrale de Lyon spécialité énergie en partenariat avec l'ITII Lyon</t>
  </si>
  <si>
    <t>Ecole centrale de Lyon / Université de Lyon, Institut des techniques d'ingénieur</t>
  </si>
  <si>
    <t>Ingénieur diplômé de l'école centrale de Marseille</t>
  </si>
  <si>
    <t>Ecole centrale de Marseille (ECM)</t>
  </si>
  <si>
    <t>Ingénieur diplômé de l'école centrale de Nantes</t>
  </si>
  <si>
    <t>École centrale de Nantes (ECN)</t>
  </si>
  <si>
    <t>Ingénieur diplômé de l'école centrale de Nantes spécialité bâtiment et travaux publics en partenariat avec l'ITII Pays de la Loire</t>
  </si>
  <si>
    <t>École centrale de Nantes (ECN), Institut des techniques d'ingénieur de l'industr</t>
  </si>
  <si>
    <t>Ingénieur diplômé de l'école centrale de Nantes spécialité mécanique en partenariat avec l'ITII Pays de la Loire</t>
  </si>
  <si>
    <t>Ingénieur diplômé de l'école centrale d'électronique</t>
  </si>
  <si>
    <t>École centrale d'électronique (ECE)</t>
  </si>
  <si>
    <t>Ingénieur diplômé de l'école d'électricité, de production et des méthodes industrielles</t>
  </si>
  <si>
    <t>ECAM - EPMI</t>
  </si>
  <si>
    <t>Ingénieur diplômé de l'école d'électricité, de production et des méthodes industrielles spécialité génie énergétique et climatique</t>
  </si>
  <si>
    <t>Ingénieur diplômé de l'école des hautes études d'ingénieur</t>
  </si>
  <si>
    <t>École des hautes études d'ingénieur (HEI)</t>
  </si>
  <si>
    <t>Ingénieur diplômé de l'école des ingénieurs de la ville de Paris spécialité génie urbain</t>
  </si>
  <si>
    <t>Ecole des ingénieurs de la ville de Paris (EIVP)</t>
  </si>
  <si>
    <t>Ingénieur diplômé de l'école des métiers de l'environnement</t>
  </si>
  <si>
    <t>Ecole des métiers de l'environnement (EME)</t>
  </si>
  <si>
    <t>Ingénieur diplômé de l'école d'ingénieurs de l'université de Caen spécialité agroalimentaire</t>
  </si>
  <si>
    <t>Ecole d'ingénieurs de l'université de Caen (ESIX Normandie) / Université de Caen</t>
  </si>
  <si>
    <t>Ingénieur diplômé de l'école d'ingénieurs de l'université de Caen spécialité génie des systèmes industriels</t>
  </si>
  <si>
    <t>Ingénieur diplômé de l'école d'ingénieurs de Purpan</t>
  </si>
  <si>
    <t>École d'ingénieurs de Purpan</t>
  </si>
  <si>
    <t>Ingénieur diplômé de l'école d'ingénieurs en génie des systèmes industriels</t>
  </si>
  <si>
    <t>Ecole d'ingénieurs en génie des systèmes industriels (EIGSI)</t>
  </si>
  <si>
    <t>Ingénieur diplômé de l'école européenne d'ingénieurs en génie des matériaux de l'université de Lorraine</t>
  </si>
  <si>
    <t>École européenne d'ingénieurs en génie des matériaux (EEIGM) / Université de Lor</t>
  </si>
  <si>
    <t>Ingénieur diplômé de l'École française d'électronique et d'informatique</t>
  </si>
  <si>
    <t>Ecole française d'électronique et d'informatique (EFREI)</t>
  </si>
  <si>
    <t>Ingénieur diplômé de l'école nationale de la statistique et de l'administration économique du groupe des écoles nationales d'économie et statistique</t>
  </si>
  <si>
    <t>Ecole nationale de la statistique et de l'administration économique ParisTech</t>
  </si>
  <si>
    <t>Ingénieur diplômé de l'école nationale de l'aviation civile</t>
  </si>
  <si>
    <t>Ecole nationale de l'aviation civile (ENAC)</t>
  </si>
  <si>
    <t>Ingénieur diplômé de l'école nationale des ponts et chaussées</t>
  </si>
  <si>
    <t>Ecole nationale des ponts et chaussées (ENPC)</t>
  </si>
  <si>
    <t>Ingénieur diplômé de l'école nationale d'ingénieurs de Brest</t>
  </si>
  <si>
    <t>Ecole nationale d'ingénieurs de Brest (ENIB)</t>
  </si>
  <si>
    <t>Ingénieur diplômé de l'école nationale d'ingénieurs de Metz</t>
  </si>
  <si>
    <t>Ecole nationale d'ingénieurs de Metz (ENIM)</t>
  </si>
  <si>
    <t>Ingénieur diplômé de l'école nationale d'ingénieurs de Saint-Étienne spécialité génie civil</t>
  </si>
  <si>
    <t>École nationale d'ingénieurs de Saint-Etienne</t>
  </si>
  <si>
    <t>Ingénieur diplômé de l'école nationale d'ingénieurs de Saint-Etienne spécialité génie mécanique</t>
  </si>
  <si>
    <t>Ingénieur diplômé de l'école nationale d'ingénieurs de Tarbes</t>
  </si>
  <si>
    <t>Ecole nationale d'ingénieurs de Tarbes (ENIT) / Institut national polytechnique</t>
  </si>
  <si>
    <t>Ingénieur diplômé de l'école nationale d'ingénieurs du Val de Loire</t>
  </si>
  <si>
    <t>Institut national des sciences appliquées Centre Val de Loire (INSA Centre Val d</t>
  </si>
  <si>
    <t>Ingénieur diplômé de l'école nationale du génie de l'eau et de l'environnement de Strasbourg</t>
  </si>
  <si>
    <t>École nationale du génie de l'eau et de l'environnement de Strasbourg (ENGEES)</t>
  </si>
  <si>
    <t>Ingénieur diplômé de l'école nationale supérieure agronomique de Toulouse de l'institut national polytechnique de Toulouse</t>
  </si>
  <si>
    <t>Ingénieur diplômé de l'école nationale supérieure d'agronomie et des industries alimentaires de l'université de Lorraine spécialité agronomie</t>
  </si>
  <si>
    <t>Ecole nationale supérieure d'agronomie et des industries alimentaires (ENSAIA) /</t>
  </si>
  <si>
    <t>Ingénieur diplômé de l'école nationale supérieure d'agronomie et des industries alimentaires de l'université de Lorraine spécialité industries alimentaires</t>
  </si>
  <si>
    <t>Ingénieur diplômé de l'école nationale supérieure d'arts et métiers</t>
  </si>
  <si>
    <t>Ecole nationale supérieure d'arts et métiers (ENSAM)</t>
  </si>
  <si>
    <t>Ingénieur diplômé de l'école nationale supérieure d'arts et métiers spécialité génie énergétique en partenariat avec Ingénieurs 2000</t>
  </si>
  <si>
    <t>Ecole nationale supérieure d'arts et métiers (ENSAM), Ingénieurs 2000</t>
  </si>
  <si>
    <t>Ingénieur diplômé de l'école nationale supérieure d'arts et métiers spécialité génie industriel en partenariat avec Ingénieurs 2000</t>
  </si>
  <si>
    <t>Ingénieur diplômé de l'école nationale supérieure de céramique industrielle</t>
  </si>
  <si>
    <t>Ecole nationale supérieure de céramique industrielle (ENSCI)  / Université de Li</t>
  </si>
  <si>
    <t>Ingénieur diplômé de l'école nationale supérieure de chimie de Clermont-Ferrand</t>
  </si>
  <si>
    <t>Ecole nationale supérieure de chimie de Clermont-Ferrand (ENSCCF) / Université C</t>
  </si>
  <si>
    <t>Ingénieur diplômé de l'école nationale supérieure de chimie de Lille</t>
  </si>
  <si>
    <t>Ecole nationale supérieure de chimie de Lille (ENSCL) / Université de Lille 1</t>
  </si>
  <si>
    <t>Ingénieur diplômé de l'école nationale supérieure de chimie de Montpellier</t>
  </si>
  <si>
    <t>École nationale supérieure de chimie de Montpellier (ENSCM) / Université de Mont</t>
  </si>
  <si>
    <t>Ingénieur diplômé de l'école nationale supérieure de chimie de Paris</t>
  </si>
  <si>
    <t>Ecole nationale supérieure de chimie de Paris (ENSCP)</t>
  </si>
  <si>
    <t>Ingénieur diplômé de l'école nationale supérieure de l'électronique et de ses applications</t>
  </si>
  <si>
    <t>Ecole nationale supérieure de l'électronique et de ses applications (ENSEA)</t>
  </si>
  <si>
    <t>Ingénieur diplômé de l'école nationale supérieure de sciences appliquées et de technologie de Lannion de l'université Rennes 1 spécialité informatique, multimédia et réseaux en partenariat avec l'ITII Bretagne</t>
  </si>
  <si>
    <t>Ecole nationale supérieure des sciences appliquées et de technologie (ENSSAT) /</t>
  </si>
  <si>
    <t>Ingénieur diplômé de l'école nationale supérieure de sciences appliquées et de technologie de Lannion de l'université Rennes 1 spécialité logiciel et système informatique</t>
  </si>
  <si>
    <t>Ingénieur diplômé de l'école nationale supérieure de techniques avancées</t>
  </si>
  <si>
    <t>Ecole nationale supérieure de techniques avancées - ParisTech</t>
  </si>
  <si>
    <t>Ingénieur diplômé de l'école nationale supérieure de techniques avancées Bretagne</t>
  </si>
  <si>
    <t>École nationale supérieure de techniques avancées Bretagne</t>
  </si>
  <si>
    <t>Ingénieur diplômé de l'école nationale supérieure de techniques avancées Bretagne spécialité mécanique et électronique en partenariat avec l'ITII Bretagne</t>
  </si>
  <si>
    <t>École nationale supérieure de techniques avancées Bretagne, Institut des techniq</t>
  </si>
  <si>
    <t>Ingénieur diplômé de l'école nationale supérieure d'électricité et de mécanique de Nancy de l'université de Lorraine</t>
  </si>
  <si>
    <t>Ecole nationale supérieure d'électricité et de mécanique de Nancy (ENSEM) / Univ</t>
  </si>
  <si>
    <t>Ingénieur diplômé de l'école nationale supérieure d'électrotechnique, d'électronique, d'informatique, d'hydraulique et des télécommunications de l'institut national polytechnique de Toulouse spécialité génie électrique et automatique</t>
  </si>
  <si>
    <t>École nationale supérieure d'électrotechnique, d'électronique, d'informatique, d</t>
  </si>
  <si>
    <t>Ingénieur diplômé de l'école nationale supérieure d'électrotechnique, d'électronique, d'informatique, d'hydraulique et des télécommunications de l'institut national polytechnique de Toulouse spécialité mécanique des fluides</t>
  </si>
  <si>
    <t>Ingénieur diplômé de l'école nationale supérieure des industries chimiques de l'université de Lorraine</t>
  </si>
  <si>
    <t>Ecole nationale supérieure des industries chimiques (ENSIC) / Université de Lorr</t>
  </si>
  <si>
    <t>Ingénieur diplômé de l'école nationale supérieure des industries chimiques de l'université de Lorraine spécialité génie chimique en partenariat avec l'UIC</t>
  </si>
  <si>
    <t>Ingénieur diplômé de l'école nationale supérieure des ingénieurs en arts chimiques et technologiques de l'institut national polytechnique de Toulouse spécialité chimie</t>
  </si>
  <si>
    <t>École nationale supérieure des ingénieurs en arts chimiques et technologiques (E</t>
  </si>
  <si>
    <t>Ingénieur diplômé de l'école nationale supérieure des ingénieurs en arts chimiques et technologiques de l'institut national polytechnique de Toulouse spécialité génie chimique</t>
  </si>
  <si>
    <t>Ingénieur diplômé de l'école nationale supérieure des ingénieurs en arts chimiques et technologiques de l'institut national polytechnique de Toulouse spécialité génie des procédés</t>
  </si>
  <si>
    <t>Ingénieur diplômé de l'école nationale supérieure des ingénieurs en arts chimiques et technologiques de l'institut national polytechnique de Toulouse spécialité génie industriel</t>
  </si>
  <si>
    <t>Ingénieur diplômé de l'école nationale supérieure des ingénieurs en arts chimiques et technologiques de l'institut national polytechnique de Toulouse spécialité matériaux</t>
  </si>
  <si>
    <t>Ingénieur diplômé de l'école nationale supérieure des mines d'Albi-Carmaux</t>
  </si>
  <si>
    <t>Ecole nationale supérieure des mines d'Albi-Carmaux (ENSTIMAC)</t>
  </si>
  <si>
    <t>Ingénieur diplômé de l'école nationale supérieure des mines d'Alès</t>
  </si>
  <si>
    <t>École nationale supérieure des mines d'Alès (ENSTIMA)</t>
  </si>
  <si>
    <t>Ingénieur diplômé de l'école nationale supérieure des mines de Douai</t>
  </si>
  <si>
    <t>Ecole nationale supérieure des mines de Douai (ENSMD)</t>
  </si>
  <si>
    <t>Ingénieur diplômé de l'école nationale supérieure des mines de Douai spécialité productique en partenariat avec l'IPHC</t>
  </si>
  <si>
    <t>Ecole nationale supérieure des mines de Douai (ENSMD), Institut polytechnique du</t>
  </si>
  <si>
    <t>Ingénieur diplômé de l'école nationale supérieure des mines de Nancy de l'université de Lorraine</t>
  </si>
  <si>
    <t>École nationale supérieure des mines de Nancy (ENSMN) / Université de Lorraine</t>
  </si>
  <si>
    <t>Ingénieur diplômé de l'école nationale supérieure des mines de Nancy de l'université de Lorraine spécialité matériaux et gestion de production</t>
  </si>
  <si>
    <t>Ingénieur diplômé de l'école nationale supérieure des mines de Paris</t>
  </si>
  <si>
    <t>Ecole nationale supérieure des mines de Paris</t>
  </si>
  <si>
    <t>Ingénieur diplômé de l'école nationale supérieure des mines de Paris, en convention avec le conservatoire national des arts et métiers et l'Université Paris 7 spécialité fluides et énergie en partenariat avec l'ISUPFERE</t>
  </si>
  <si>
    <t>Ecole nationale supérieure des mines de Paris, Institut supérieur fluides, énerg</t>
  </si>
  <si>
    <t>Ingénieur diplômé de l'école nationale supérieure des mines de Saint-Étienne spécialité électronique et informatique industrielle en partenariat avec l'ITII PACA</t>
  </si>
  <si>
    <t>École nationale supérieure des mines de Saint-Étienne, Institut des techniques d</t>
  </si>
  <si>
    <t>Ingénieur diplômé de l'école nationale supérieure des mines de Saint-Étienne spécialité énergétique</t>
  </si>
  <si>
    <t>École nationale supérieure des mines de Saint-Étienne</t>
  </si>
  <si>
    <t>Ingénieur diplômé de l'école nationale supérieure des mines de Saint-Étienne spécialité génie des installations nucléaires en partenariat avec l'Institut national des sciences et techniques nucléaires</t>
  </si>
  <si>
    <t>École nationale supérieure des mines de Saint-Étienne, Institut national des sci</t>
  </si>
  <si>
    <t>Ingénieur diplômé de l'école nationale supérieure des mines de Saint-Étienne spécialité génie industriel</t>
  </si>
  <si>
    <t>Ingénieur diplômé de l'école nationale supérieure des sciences agronomiques de Bordeaux Aquitaine</t>
  </si>
  <si>
    <t>Ecole nationale supérieure des sciences agronomiques de Bordeaux Aquitaine</t>
  </si>
  <si>
    <t>Ingénieur diplômé de l'école nationale supérieure des technologies et industries du bois de l'université de Lorraine</t>
  </si>
  <si>
    <t>Ecole nationale supérieure des technologies et industries du bois (ENSTIB) / Uni</t>
  </si>
  <si>
    <t>Ingénieur diplômé de l'école nationale supérieure d'informatique pour l'industrie et l'entreprise</t>
  </si>
  <si>
    <t>Ecole nationale supérieure d'informatique pour l'industrie et l'entreprise (ENSI</t>
  </si>
  <si>
    <t>Ingénieur diplômé de l'école nationale supérieure d'ingénieurs de Bourges spécialité maîtrise des risques industriels</t>
  </si>
  <si>
    <t>Ingénieur diplômé de l'école nationale supérieure d'ingénieurs de Bretagne-Sud de l'université de Bretagne-Sud spécialité mécatronique</t>
  </si>
  <si>
    <t>Ecole nationale supérieure d'ingénieurs de Bretagne Sud (ENSIBS) / Université de</t>
  </si>
  <si>
    <t>Ingénieur diplômé de l'école nationale supérieure d'ingénieurs de Caen spécialité électronique et physique appliquée</t>
  </si>
  <si>
    <t>Ecole nationale supérieure d'ingénieurs de Caen (ENSI Caen)  / Université Caen</t>
  </si>
  <si>
    <t>Ingénieur diplômé de l'école nationale supérieure d'ingénieurs de Caen spécialité génie industriel en partenariat avec l'ITII Basse-Normandie</t>
  </si>
  <si>
    <t>Ecole nationale supérieure d'ingénieurs de Caen (ENSI Caen)  / Université Caen,</t>
  </si>
  <si>
    <t>Ingénieur diplômé de l'école nationale supérieure d'ingénieurs de Caen spécialité informatique</t>
  </si>
  <si>
    <t>Ingénieur diplômé de l'école nationale supérieure d'ingénieurs de Caen spécialité matériaux et mécanique</t>
  </si>
  <si>
    <t>Ingénieur diplômé de l'école nationale supérieure d'ingénieurs de Caen spécialité matériaux-chimie</t>
  </si>
  <si>
    <t>Ingénieur diplômé de l'école nationale supérieure d'ingénieurs de Poitiers de l'université de Poitiers spécialité eau et génie civil</t>
  </si>
  <si>
    <t>Ecole nationale supérieure d'ingénieurs de Poitiers (ENSIP) / Université de Poit</t>
  </si>
  <si>
    <t>Ingénieur diplômé de l'école nationale supérieure d'ingénieurs de Poitiers de l'université de Poitiers spécialité énergie</t>
  </si>
  <si>
    <t>Ingénieur diplômé de l'école nationale supérieure d'ingénieurs du Mans de l'université du Mans spécialité informatique</t>
  </si>
  <si>
    <t>École nationale supérieure d'Ingénieurs du Mans (ENSI du Mans) / Université Le M</t>
  </si>
  <si>
    <t>Ingénieur diplômé de l'école nationale supérieure d'ingénieurs du Mans de l'université du Mans spécialité vibrations, acoustique, capteurs</t>
  </si>
  <si>
    <t>Ingénieur diplômé de l'école nationale supérieure d'ingénieurs en informatique, automatique, mécanique, énergétique et électronique de l'université de Valenciennes spécialité génie électrique et informatique industrielle en partenariat avec l'ITII Nord-Pa</t>
  </si>
  <si>
    <t>École nationale supérieure d'ingénieurs en informatique, automatique, mécanique,</t>
  </si>
  <si>
    <t>Ingénieur diplômé de l'école nationale supérieure d'ingénieurs en informatique, automatique, mécanique, énergétique et électronique de l'université de Valenciennes spécialité informatique et automatique</t>
  </si>
  <si>
    <t>Ingénieur diplômé de l'école nationale supérieure d'ingénieurs en informatique, automatique, mécanique, énergétique et électronique de l'université de Valenciennes spécialité mécanique et énergétique</t>
  </si>
  <si>
    <t>Ingénieur diplômé de l'école nationale supérieure d'ingénieurs en informatique, automatique, mécanique, énergétique et électronique de l'université de Valenciennes spécialité mécatronique</t>
  </si>
  <si>
    <t>Ingénieur diplômé de l'école nationale supérieure d'ingénieurs Sud-Alsace de l'université de Mulhouse spécialité mécanique</t>
  </si>
  <si>
    <t>École nationale supérieure d'ingénieurs Sud Alsace (ENSISA) / Université de Mulh</t>
  </si>
  <si>
    <t>Ingénieur diplômé de l'école nationale supérieure en génie des systèmes industriels de l'université de Lorraine</t>
  </si>
  <si>
    <t>École nationale supérieure en génie des systèmes et de l'innovation (ENSGSI) / U</t>
  </si>
  <si>
    <t>Ingénieur diplômé de l'école nationale supérieure en génie des technologies industrielles de l'université de Pau spécialité énergétique</t>
  </si>
  <si>
    <t>École nationale supérieure en génie des technologies industrielles (ENSGTI) / Un</t>
  </si>
  <si>
    <t>Ingénieur diplômé de l'école nationale supérieure en génie des technologies industrielles de l'université de Pau spécialité génie des procédés</t>
  </si>
  <si>
    <t>Ingénieur diplômé de l'École nationale supérieure maritime</t>
  </si>
  <si>
    <t>Ecole nationale supérieure maritime</t>
  </si>
  <si>
    <t>Ingénieur diplômé de l'école nationale vétérinaire, agroalimentaire et de l'alimentation de Nantes-Atlantique</t>
  </si>
  <si>
    <t>Ecole nationale vétérinaire, agroalimentaire et de l'alimentation, Nantes-Atlant</t>
  </si>
  <si>
    <t>Ingénieur diplômé de l'école polytechnique de l'université de Nantes spécialité électronique et technologies numériques</t>
  </si>
  <si>
    <t>Ecole polytechnique de l'université de Nantes (Polytech'Nantes) / Université de</t>
  </si>
  <si>
    <t>Ingénieur diplômé de l'école polytechnique de l'université de Nantes spécialité génie électrique</t>
  </si>
  <si>
    <t>Ingénieur diplômé de l'école polytechnique de l'université de Nantes spécialité matériaux</t>
  </si>
  <si>
    <t>Ingénieur diplômé de l'école polytechnique de l'université de Nantes spécialité thermique-énergétique</t>
  </si>
  <si>
    <t>Ingénieur diplômé de l'école polytechnique de l'Université de Nice spécialité électronique et informatique industrielle en partenariat avec l'ITII PACA</t>
  </si>
  <si>
    <t>Ecole polytechnique universitaire de Nice Sophia Antipolis (Polytech'Nice) / Uni</t>
  </si>
  <si>
    <t>Ingénieur diplômé de l'école polytechnique de l'université de Tours spécialité électronique et systèmes de l'énergie électrique</t>
  </si>
  <si>
    <t>École polytechnique de l'université de Tours (Polytech'Tours) / Université de To</t>
  </si>
  <si>
    <t>Ingénieur diplômé de l'école polytechnique de l'université de Tours spécialité génie de l'aménagement et de l'environnement</t>
  </si>
  <si>
    <t>Ingénieur diplômé de l'école polytechnique de l'université de Tours spécialité informatique</t>
  </si>
  <si>
    <t>Ingénieur diplômé de l'école polytechnique de l'université de Tours spécialité informatique industrielle en partenariat avec l'ITII Centre</t>
  </si>
  <si>
    <t>Ingénieur diplômé de l'école polytechnique de l'université de Tours spécialité mécanique et conception des systèmes</t>
  </si>
  <si>
    <t>Ingénieur diplômé de l'école polytechnique de l'université d'Orléans spécialité électronique et optique</t>
  </si>
  <si>
    <t>École polytechnique de l'Université d'Orléans (Polytech'Orléans) / Université d'</t>
  </si>
  <si>
    <t>Ingénieur diplômé de l'école polytechnique de l'université d'Orléans spécialité énergétique</t>
  </si>
  <si>
    <t>Ingénieur diplômé de l'école polytechnique de l'université d'Orléans spécialité génie civil</t>
  </si>
  <si>
    <t>Ingénieur diplômé de l'école polytechnique de l'université d'Orléans spécialité intelligence du bâtiment en partenariat avec l'ITII Centre</t>
  </si>
  <si>
    <t>Ingénieur diplômé de l'école polytechnique de l'université d'Orléans spécialité mécanique et énergétique</t>
  </si>
  <si>
    <t>Ingénieur diplômé de l'école polytechnique de l'université d'Orléans spécialité mécanique, matériaux et mécatronique</t>
  </si>
  <si>
    <t>Ingénieur diplômé de l'école polytechnique de l'université d'Orléans spécialité production en partenariat avec l'ITII Centre</t>
  </si>
  <si>
    <t>Ingénieur diplômé de l'école polytechnique de l'université Grenoble 1 spécialité électronique et informatique industrielle</t>
  </si>
  <si>
    <t>Ecole polytechnique de l'université de Grenoble 1 (Polytech'Grenoble) / Universi</t>
  </si>
  <si>
    <t>Ingénieur diplômé de l'école polytechnique de l'université Grenoble 1 spécialité géotechnique</t>
  </si>
  <si>
    <t>Ingénieur diplômé de l'école polytechnique de l'université Grenoble 1 spécialité informatique industrielle et instrumentation</t>
  </si>
  <si>
    <t>Ingénieur diplômé de l'école polytechnique de l'université Grenoble 1 spécialité matériaux</t>
  </si>
  <si>
    <t>Ingénieur diplômé de l'école polytechnique de l'université Grenoble 1 spécialité prévention des risques</t>
  </si>
  <si>
    <t>Ingénieur diplômé de l'école polytechnique de l'université Paris 11 spécialité électronique</t>
  </si>
  <si>
    <t>Ecole polytechnique de l'université Paris 11 (Polytech Paris-Sud)</t>
  </si>
  <si>
    <t>Ingénieur diplômé de l'école polytechnique de l'université Paris 11 spécialité informatique</t>
  </si>
  <si>
    <t>Ingénieur diplômé de l'école polytechnique de l'université Paris 11 spécialité informatique en partenariat avec l'ITII Ile-de-France</t>
  </si>
  <si>
    <t>Ecole polytechnique de l'université Paris 11 (Polytech Paris-Sud), Institut des</t>
  </si>
  <si>
    <t>Ingénieur diplômé de l'école polytechnique de l'université Paris 11 spécialité matériaux</t>
  </si>
  <si>
    <t>Ingénieur diplômé de l'école polytechnique de l'université Paris 11 spécialité optronique</t>
  </si>
  <si>
    <t>Ingénieur diplômé de l'école polytechnique universitaire de Lille de l'université Lille 1 spécialité agroalimentaire</t>
  </si>
  <si>
    <t>Ecole polytechnique de l'Université de Lille (Polytech'Lille) / Université de Li</t>
  </si>
  <si>
    <t>Ingénieur diplômé de l'école polytechnique universitaire de Lille de l'université Lille 1 spécialité génie civil</t>
  </si>
  <si>
    <t>Ingénieur diplômé de l'école polytechnique universitaire de Lille de l'université Lille 1 spécialité informatique, microélectronique, automatique</t>
  </si>
  <si>
    <t>Ingénieur diplômé de l'école polytechnique universitaire de Lille de l'université Lille 1 spécialité matériaux</t>
  </si>
  <si>
    <t>Ingénieur diplômé de l'école polytechnique universitaire de Lille de l'université Lille 1 spécialité mécanique</t>
  </si>
  <si>
    <t>Ingénieur diplômé de l'école polytechnique universitaire de Lille de l'université Lille 1 spécialité production (en convention avec l'université du Littoral) en partenariat avec l'ITII Nord-Pas-de-Calais</t>
  </si>
  <si>
    <t>Ingénieur diplômé de l'école polytechnique universitaire de Lille de l'université Lille 1 spécialité production en partenariat avec l'ITII Nord-Pas-de-Calais</t>
  </si>
  <si>
    <t>Ingénieur diplômé de l'école polytechnique universitaire de Marseille de l'université d'Aix-Marseille spécialité génie biologique</t>
  </si>
  <si>
    <t>École polytechnique universitaire de Marseille de l'Université d'Aix-Marseille /</t>
  </si>
  <si>
    <t>Ingénieur diplômé de l'école polytechnique universitaire de Marseille de l'université d'Aix-Marseille spécialité génie civil</t>
  </si>
  <si>
    <t>École polytechnique universitaire de Marseille de l'Université d'Aix-Marseille</t>
  </si>
  <si>
    <t>Ingénieur diplômé de l'école polytechnique universitaire de Marseille de l'université d'Aix-Marseille spécialité génie industriel et informatique</t>
  </si>
  <si>
    <t>Ingénieur diplômé de l'école polytechnique universitaire de Marseille de l'université d'Aix-Marseille spécialité mécanique et énergétique</t>
  </si>
  <si>
    <t>Ingénieur diplômé de l'école polytechnique universitaire de Montpellier de l'université Montpellier 2 spécialité électronique et informatique industrielle</t>
  </si>
  <si>
    <t>Ecole polytechnique universitaire de Montpellier (Polytech' Montpellier) / Unive</t>
  </si>
  <si>
    <t>Ingénieur diplômé de l'école polytechnique universitaire de Montpellier de l'université Montpellier 2 spécialité matériaux</t>
  </si>
  <si>
    <t>Ingénieur diplômé de l'école polytechnique universitaire de Montpellier de l'université Montpellier 2 spécialité mécanique</t>
  </si>
  <si>
    <t>Ingénieur diplômé de l'école polytechnique universitaire de Montpellier de l'université Montpellier 2 spécialité sciences et technologies de l'eau</t>
  </si>
  <si>
    <t>Ingénieur diplômé de l'école polytechnique universitaire de Savoie de l'université de Chambéry spécialité environnement, bâtiment, énergie</t>
  </si>
  <si>
    <t>Ecole polytechnique universitaire de Savoie (Polytech'Savoie) / Université de Ch</t>
  </si>
  <si>
    <t>Ingénieur diplômé de l'école polytechnique universitaire de Savoie de l'université de Chambéry spécialité instrumentation, automatique, informatique</t>
  </si>
  <si>
    <t>Ingénieur diplômé de l'école polytechnique universitaire de Savoie de l'université de Chambéry spécialité mécanique-matériaux</t>
  </si>
  <si>
    <t>Ingénieur diplômé de l'école polytechnique universitaire de Savoie de l'université de Chambéry spécialité mécanique-productique en partenariat avec l'ITII des Deux-Savoie</t>
  </si>
  <si>
    <t>Ingénieur diplômé de l'école polytechnique universitaire Pierre et Marie Curie de l'université Paris 6 spécialité agroalimentaire</t>
  </si>
  <si>
    <t>Ecole polytechnique de l'université Pierre-et-Marie-Curie (Polytech' Paris-UPMC)</t>
  </si>
  <si>
    <t>Ingénieur diplômé de l'école polytechnique universitaire Pierre-et-Marie-Curie de l'université Paris 6 spécialité génie mécanique en partenariat avec l'ITII Ile-de-France</t>
  </si>
  <si>
    <t>Ingénieur diplômé de l'école polytechnique universitaire Pierre-et-Marie-Curie de l'université Paris 6 spécialité matériaux</t>
  </si>
  <si>
    <t>Ingénieur diplômé de l'école polytechnique universitaire Pierre-et-Marie-Curie de l'université Paris 6 spécialité robotique</t>
  </si>
  <si>
    <t>Ingénieur diplômé de l'école polytechnique universitaire Pierre-et-Marie-Curie de l'université Paris 6 spécialité sciences de la terre</t>
  </si>
  <si>
    <t>Ingénieur diplômé de l'école pour l'informatique et les techniques avancées</t>
  </si>
  <si>
    <t>Ingénieur diplômé de l'école spéciale de mécanique et d'électricité</t>
  </si>
  <si>
    <t>Ecole spéciale de mécanique et d'électricité (ESME)</t>
  </si>
  <si>
    <t>Ingénieur diplômé de l'école spéciale des travaux publics, du bâtiment et de l'industrie spécialité bâtiment</t>
  </si>
  <si>
    <t>Ecole spéciale des travaux publics du bâtiment et de l'industrie (ESTP)</t>
  </si>
  <si>
    <t>Ingénieur diplômé de l'école spéciale des travaux publics, du bâtiment et de l'industrie spécialité génie mécanique et électrique</t>
  </si>
  <si>
    <t>Ingénieur diplômé de l'école spéciale des travaux publics, du bâtiment et de l'industrie spécialité travaux publics</t>
  </si>
  <si>
    <t>Ingénieur diplômé de l'école supérieure angevine d'informatique et de productique spécialité informatique et réseaux</t>
  </si>
  <si>
    <t>École supérieure angevine d'informatique et de productique (ESAIP)</t>
  </si>
  <si>
    <t>Ingénieur diplômé de l'école supérieure d'agriculture d'Angers</t>
  </si>
  <si>
    <t>Ecole supérieure d'agriculture d'Angers (ESA)</t>
  </si>
  <si>
    <t>Ingénieur diplômé de l'école supérieure de chimie, physique, électronique de Lyon spécialité chimie-génie des procédés</t>
  </si>
  <si>
    <t>Ecole supérieure de chimie, physique et électronique de Lyon / Université de Lyo</t>
  </si>
  <si>
    <t>Ingénieur diplômé de l'école supérieure de chimie, physique, électronique de Lyon spécialité électronique</t>
  </si>
  <si>
    <t>Ingénieur diplômé de l'école supérieure de chimie, physique, électronique de Lyon spécialité informatique et réseaux de communication en partenariat avec l'ITII Lyon</t>
  </si>
  <si>
    <t>Ingénieur diplômé de l'école supérieure d'électricité</t>
  </si>
  <si>
    <t>Ecole supérieure d'électricité (ESE SUPELEC)</t>
  </si>
  <si>
    <t>Ingénieur diplômé de l'école supérieure d'électronique de l'Ouest spécialité informatique industrielle en partenariat avec l'ITII Pays de la Loire</t>
  </si>
  <si>
    <t>École supérieure d'électronique de l'Ouest  (ESEO), Institut des techniques d'in</t>
  </si>
  <si>
    <t>Ingénieur diplômé de l'école supérieure des techniques aéronautiques et de construction automobile</t>
  </si>
  <si>
    <t>Ecole supérieure des techniques aéronautiques et construction automobile (ESTACA</t>
  </si>
  <si>
    <t>Ingénieur diplômé de l'école supérieure des technologies industrielles avancées</t>
  </si>
  <si>
    <t>École supérieure des technologies industrielles avancées (ESTIA)</t>
  </si>
  <si>
    <t>Ingénieur diplômé de l'école supérieure d'ingénieurs de Rennes de l'université Rennes 1 spécialité informatique et télécommunications</t>
  </si>
  <si>
    <t>Ecole supérieure d'ingénieurs de Rennes (ESIR) / Université de Rennes 1</t>
  </si>
  <si>
    <t>Ingénieur diplômé de l'école supérieure d'ingénieurs de Rennes de l'université Rennes 1 spécialité matériaux</t>
  </si>
  <si>
    <t>Ingénieur diplômé de l'école supérieure d'ingénieurs des travaux de la construction de Cachan</t>
  </si>
  <si>
    <t>Ecole supérieure d'ingénieurs des travaux de la construction de Cachan (ESITC Ca</t>
  </si>
  <si>
    <t>Ingénieur diplômé de l'école supérieure d'ingénieurs des travaux de la construction de Caen</t>
  </si>
  <si>
    <t>Ecole supérieure d'ingénieurs des travaux de la construction de Caen (ESITC)</t>
  </si>
  <si>
    <t>Ingénieur diplômé de l'école supérieure d'ingénieurs des travaux de la construction de Metz</t>
  </si>
  <si>
    <t>École supérieure d'ingénieurs des travaux de la construction de Metz (ESITC)</t>
  </si>
  <si>
    <t>Ingénieur diplômé de l'école supérieure d'ingénieurs en électronique et électrotechnique d'Amiens</t>
  </si>
  <si>
    <t>Ecole supérieure d'ingénieurs en électronique et électrotechnique (ESIEE) - Amie</t>
  </si>
  <si>
    <t>Ingénieur diplômé de l'école supérieure d'ingénieurs en génie électrique</t>
  </si>
  <si>
    <t>Ecole supérieure d'ingénieurs en génie électrique (ESIGELEC)</t>
  </si>
  <si>
    <t>Ingénieur diplômé de l'école supérieure d'ingénieurs en informatique et génie des télécommunications</t>
  </si>
  <si>
    <t>Ecole supérieure d'informatique et génie des télécommunications (ESIGETEL)</t>
  </si>
  <si>
    <t>Ingénieur diplômé de l'école supérieure d'ingénieurs Léonard de Vinci</t>
  </si>
  <si>
    <t>Ecole supérieure d'ingénieurs Léonard de Vinci (ESILV)</t>
  </si>
  <si>
    <t>Ingénieur diplômé de l'EPF (école polytechnique féminine)</t>
  </si>
  <si>
    <t>EPF (école polytechnique féminine) / Université de technologie de Troyes</t>
  </si>
  <si>
    <t>Ingénieur diplômé de l'institut catholique d'arts et métiers spécialité mécanique et automatique en partenariat avec l'ITII Île de France</t>
  </si>
  <si>
    <t>Institut catholique d'arts et métiers (ICAM), Institut des techniques d'ingénieu</t>
  </si>
  <si>
    <t>Ingénieur diplômé de l'institut d'enseignement supérieur et de recherche en alimentation, santé animale, sciences agronomiques et de l'environnement</t>
  </si>
  <si>
    <t>Institut d'enseignement supérieur et de recherche en alimentation, santé animale</t>
  </si>
  <si>
    <t>Ingénieur diplômé de l'institut des sciences et industries du vivant et de l'environnement (AgroParisTech)</t>
  </si>
  <si>
    <t>Institut des sciences et industries du vivant et de l'environnement (AgroParisTe</t>
  </si>
  <si>
    <t>Ingénieur diplômé de l'institut national des sciences appliquées de Lyon spécialité biosciences</t>
  </si>
  <si>
    <t>Institut national des sciences appliquées de Lyon (INSA Lyon)</t>
  </si>
  <si>
    <t>Ingénieur diplômé de l'institut national des sciences appliquées de Lyon spécialité génie civil et urbanisme</t>
  </si>
  <si>
    <t>Ingénieur diplômé de l'institut national des sciences appliquées de Lyon spécialité génie électrique</t>
  </si>
  <si>
    <t>Ingénieur diplômé de l'institut national des sciences appliquées de Lyon spécialité génie électrique en partenariat avec l'ITII Lyon</t>
  </si>
  <si>
    <t>Institut des techniques d'ingénieur de l'industrie de Lyon (ITII Lyon), Institut</t>
  </si>
  <si>
    <t>Ingénieur diplômé de l'institut national des sciences appliquées de Lyon spécialité génie énergétique et environnement</t>
  </si>
  <si>
    <t>Ingénieur diplômé de l'institut national des sciences appliquées de Lyon spécialité génie industriel</t>
  </si>
  <si>
    <t>Ingénieur diplômé de l'institut national des sciences appliquées de Lyon spécialité génie mécanique</t>
  </si>
  <si>
    <t>Ingénieur diplômé de l'institut national des sciences appliquées de Lyon spécialité génie mécanique en partenariat avec l'ITII Lyon</t>
  </si>
  <si>
    <t>Ingénieur diplômé de l'institut national des sciences appliquées de Lyon spécialité informatique</t>
  </si>
  <si>
    <t>Ingénieur diplômé de l'institut national des sciences appliquées de Lyon spécialité sciences et génie des matériaux</t>
  </si>
  <si>
    <t>Ingénieur diplômé de l'institut national des sciences appliquées de Rennes spécialité électronique et informatique industrielle</t>
  </si>
  <si>
    <t>Institut national des sciences appliquées de Rennes (INSA Rennes)</t>
  </si>
  <si>
    <t>Ingénieur diplômé de l'institut national des sciences appliquées de Rennes spécialité génie civil et urbain</t>
  </si>
  <si>
    <t>Ingénieur diplômé de l'institut national des sciences appliquées de Rennes spécialité génie mécanique et automatique</t>
  </si>
  <si>
    <t>Ingénieur diplômé de l'institut national des sciences appliquées de Rennes spécialité informatique.</t>
  </si>
  <si>
    <t>Ingénieur diplômé de l'institut national des sciences appliquées de Rennes spécialité science et génie des matériaux</t>
  </si>
  <si>
    <t>Ingénieur diplômé de l'institut national des sciences appliquées de Rouen spécialité architecture des systèmes d'information</t>
  </si>
  <si>
    <t>Institut national des sciences appliquées de Rouen (INSA Rouen)</t>
  </si>
  <si>
    <t>Ingénieur diplômé de l'institut national des sciences appliquées de Rouen spécialité génie énergétique</t>
  </si>
  <si>
    <t>Ingénieur diplômé de l'institut national des sciences appliquées de Rouen spécialité génie mathématique</t>
  </si>
  <si>
    <t>Ingénieur diplômé de l'institut national des sciences appliquées de Strasbourg spécialité génie climatique et énergétique</t>
  </si>
  <si>
    <t>Institut national des sciences appliquées de Strasbourg (INSA Strasbourg)</t>
  </si>
  <si>
    <t>Ingénieur diplômé de l'institut national des sciences appliquées de Toulouse spécialité automatique et électronique</t>
  </si>
  <si>
    <t>Institut national des sciences appliquées de Toulouse (INSA Toulouse)</t>
  </si>
  <si>
    <t>Ingénieur diplômé de l'institut national des sciences appliquées de Toulouse spécialité génie biochimique</t>
  </si>
  <si>
    <t>Ingénieur diplômé de l'institut national des sciences appliquées de Toulouse spécialité génie civil</t>
  </si>
  <si>
    <t>Ingénieur diplômé de l'institut national des sciences appliquées de Toulouse spécialité génie des procédés</t>
  </si>
  <si>
    <t>Ingénieur diplômé de l'institut national des sciences appliquées de Toulouse spécialité génie mathématique et modélisation</t>
  </si>
  <si>
    <t>Ingénieur diplômé de l'institut national des sciences appliquées de Toulouse spécialité génie mécanique</t>
  </si>
  <si>
    <t>Ingénieur diplômé de l'institut national des sciences appliquées de Toulouse spécialité génie physique</t>
  </si>
  <si>
    <t>Ingénieur diplômé de l'institut national des sciences appliquées de Toulouse spécialité informatique</t>
  </si>
  <si>
    <t>Ingénieur diplômé de l'institut national supérieur des sciences agronomiques, de l'alimentation et de l'environnement spécialité agronomie</t>
  </si>
  <si>
    <t>Institut national supérieur des sciences agronomiques, de l'alimentation et de l</t>
  </si>
  <si>
    <t>Ingénieur diplômé de l'institut polytechnique de Bordeaux, école nationale supérieure de chimie, de biologie et de physique spécialité chimie-physique</t>
  </si>
  <si>
    <t>Ecole nationale supérieure de chimie, de biologie et de physique de Bordeaux (EN</t>
  </si>
  <si>
    <t>Ingénieur diplômé de l'institut polytechnique de Bordeaux, école nationale supérieure de chimie, de biologie et de physique spécialité matériaux en partenariat avec l'ITII Aquitaine</t>
  </si>
  <si>
    <t>Ingénieur diplômé de l'institut polytechnique de Bordeaux, école nationale supérieure de chimie, de biologie et de physique spécialité structures et composites en partenariat avec l'ITII Aquitaine</t>
  </si>
  <si>
    <t>Ingénieur diplômé de l'institut polytechnique de Bordeaux, école nationale supérieure d'électronique, informatique, télécommunications, mathématique et mécanique de Bordeaux spécialité informatique</t>
  </si>
  <si>
    <t>Ecole nationale supérieure d'électronique, informatique, télécommunications, mat</t>
  </si>
  <si>
    <t>Ingénieur diplômé de l'institut polytechnique de Bordeaux, école nationale supérieure d'électronique, informatique, télécommunications, mathématique et mécanique spécialité réseaux et systèmes d'information en partenariat avec l'ITII Aquitaine</t>
  </si>
  <si>
    <t>Ingénieur diplômé de l'institut polytechnique de Bordeaux, école nationale supérieure d'électronique, informatique, télécommunications, mathématique et mécanique spécialité systèmes électroniques embarqués en partenariat avec l'ITII Aquitaine</t>
  </si>
  <si>
    <t>Ingénieur diplômé de l'institut polytechnique de Bordeaux, école nationale supérieure en environnement, géoressources et ingénierie du développement durable</t>
  </si>
  <si>
    <t>École nationale supérieure en environnement, géoressources et ingénierie du déve</t>
  </si>
  <si>
    <t>Ingénieur diplômé de l'institut polytechnique de Grenoble spécialité management technologique</t>
  </si>
  <si>
    <t>Institut polytechnique de Grenoble (Grenoble INP)</t>
  </si>
  <si>
    <t>Ingénieur diplômé de l'institut polytechnique de Grenoble, école nationale supérieure de l'énergie, l'eau et l'environnement</t>
  </si>
  <si>
    <t>Ecole nationale supérieure de l'énergie, l'eau et l'environnement (ENSE3) / Inst</t>
  </si>
  <si>
    <t>Ingénieur diplômé de l'institut polytechnique de Grenoble, école nationale supérieure de physique, électronique, matériaux</t>
  </si>
  <si>
    <t>Ecole nationale supérieure de physique, électronique, matériaux (PHELMA) / Insti</t>
  </si>
  <si>
    <t>Ingénieur diplômé de l'institut polytechnique des sciences avancées</t>
  </si>
  <si>
    <t>Institut polytechnique des sciences avancées (IPSA)</t>
  </si>
  <si>
    <t>Ingénieur diplômé de l'institut polytechnique LaSalle-Beauvais spécialité agriculture</t>
  </si>
  <si>
    <t>Institut Polytechnique LaSalle-Beauvais (IPLB)</t>
  </si>
  <si>
    <t>Ingénieur diplômé de l'institut supérieur d'agriculture de Lille spécialité aménagement paysager de l'espace en partenariat avec l'UNEP</t>
  </si>
  <si>
    <t>Institut des techniques d'ingénieurs en aménagement paysager de l'espace (ITIAPE</t>
  </si>
  <si>
    <t>Ingénieur diplômé de l'institut supérieur de l'automobile et des transports de Nevers de l'université de Dijon</t>
  </si>
  <si>
    <t>Institut supérieur de l'automobile et des transports de Nevers (ISAT) / Universi</t>
  </si>
  <si>
    <t>Ingénieur diplômé de l'institut supérieur de l'électronique et du numérique de Brest</t>
  </si>
  <si>
    <t>Institut supérieur de l'électronique et du numérique (ISEN) - Brest</t>
  </si>
  <si>
    <t>Ingénieur diplômé de l'institut supérieur de l'électronique et du numérique de Brest en partenariat avec l'ITII Bretagne</t>
  </si>
  <si>
    <t>Institut des techniques d'ingénieur de l'industrie de Bretagne (ITII), Institut</t>
  </si>
  <si>
    <t>Ingénieur diplômé de l'institut supérieur de l'électronique et du numérique de Lille</t>
  </si>
  <si>
    <t>Institut supérieur de l'électronique et du numérique (ISEN) - Lille</t>
  </si>
  <si>
    <t>Ingénieur diplômé de l'institut supérieur de l'électronique et du numérique de Toulon</t>
  </si>
  <si>
    <t>Institut supérieur de l'électronique et du numérique (ISEN) - Toulon</t>
  </si>
  <si>
    <t>Ingénieur diplômé de l'institut supérieur de l'électronique et du numérique de Toulon spécialité électronique et informatique industrielle en partenariat avec l'ITII PACA</t>
  </si>
  <si>
    <t>Institut des techniques d'ingénieur de l'industrie de PACA (ITII PACA), Institut</t>
  </si>
  <si>
    <t>Ingénieur diplômé de l'institut supérieur de mécanique de Paris</t>
  </si>
  <si>
    <t>Institut supérieur de mécanique de Paris (SUPMECA)</t>
  </si>
  <si>
    <t>Ingénieur diplômé de l'institut supérieur d'électronique de Paris</t>
  </si>
  <si>
    <t>Institut supérieur d'électronique de Paris (ISEP)</t>
  </si>
  <si>
    <t>Ingénieur diplômé de l'Institut supérieur des sciences agronomiques, agroalimentaires, horticoles et du paysage (Agro Campus Ouest) spécialité agroalimentaire</t>
  </si>
  <si>
    <t>AgroCampus Ouest - Rennes</t>
  </si>
  <si>
    <t>Ingénieur diplômé de l'Institut supérieur des sciences agronomiques, agroalimentaires, horticoles et du paysage (Agro campus Ouest) spécialité horticulture</t>
  </si>
  <si>
    <t>AgroCampus Ouest - Angers</t>
  </si>
  <si>
    <t>Ingénieur diplômé de l'Institut supérieur des sciences agronomiques, agroalimentaires, horticoles et du paysage (Agro campus Ouest) spécialité paysage</t>
  </si>
  <si>
    <t>Ingénieur diplômé de l'institut supérieur d'informatique, de modélisation et de leurs applications de l'université Clermont-Ferrand 2</t>
  </si>
  <si>
    <t>Institut supérieur d'informatique, de modélisation et de leurs applications (ISI</t>
  </si>
  <si>
    <t>Ingénieur diplômé de l'institut textile et chimique de Lyon</t>
  </si>
  <si>
    <t>Institut textile et chimique de Lyon</t>
  </si>
  <si>
    <t>Ingénieur diplômé de l'université de Pau spécialité bâtiment et travaux publics</t>
  </si>
  <si>
    <t>Université Pau et des Pays de L'Adour</t>
  </si>
  <si>
    <t>Ingénieur diplômé de l'université de technologie de Belfort-Montbéliard spécialité énergie</t>
  </si>
  <si>
    <t>Université de technologie de Belfort-Montbéliard (UTBM)</t>
  </si>
  <si>
    <t>Ingénieur diplômé de l'université de technologie de Belfort-Montbéliard spécialité génie électrique en partenariat avec l'ITII Franche-Comté</t>
  </si>
  <si>
    <t>Institut des techniques d'ingénieur de l'industrie de Franche-Comté (ITII ), Uni</t>
  </si>
  <si>
    <t>Ingénieur diplômé de l'université de technologie de Belfort-Montbéliard spécialité informatique</t>
  </si>
  <si>
    <t>Ingénieur diplômé de l'université de technologie de Belfort-Montbéliard spécialité informatique en partenariat avec l'ITII Franche-Comté</t>
  </si>
  <si>
    <t>Ingénieur diplômé de l'université de technologie de Belfort-Montbéliard spécialité mécanique</t>
  </si>
  <si>
    <t>Ingénieur diplômé de l'université de technologie de Belfort-Montbéliard spécialité mécanique et ergonomie</t>
  </si>
  <si>
    <t>Ingénieur diplômé de l'université de technologie de Belfort-Montbéliard spécialité systèmes industriels</t>
  </si>
  <si>
    <t>Ingénieur diplômé de l'université de technologie de Compiègne spécialité génie biologique</t>
  </si>
  <si>
    <t>Université de technologie de Compiègne (UTC)</t>
  </si>
  <si>
    <t>Ingénieur diplômé de l'université de technologie de Compiègne spécialité génie des procédés</t>
  </si>
  <si>
    <t>Ingénieur diplômé de l'université de technologie de Compiègne spécialité informatique</t>
  </si>
  <si>
    <t>Ingénieur diplômé de l'université de technologie de Compiègne spécialité mécanique</t>
  </si>
  <si>
    <t>Ingénieur diplômé de l'université de technologie de Compiègne spécialité systèmes urbains</t>
  </si>
  <si>
    <t>Ingénieur diplômé de l'université de technologie de Troyes spécialité informatique et systèmes d'information</t>
  </si>
  <si>
    <t>Université de technologie de Troyes (UTT)</t>
  </si>
  <si>
    <t>Ingénieur diplômé de l'université de technologie de Troyes spécialité matériaux</t>
  </si>
  <si>
    <t>Ingénieur diplômé de l'université de technologie de Troyes spécialité matériaux et mécanique</t>
  </si>
  <si>
    <t>Ingénieur diplômé de l'université de technologie de Troyes spécialité systèmes industriels</t>
  </si>
  <si>
    <t>Ingénieur diplômé de l'université de technologie de Troyes spécialité systèmes mécaniques</t>
  </si>
  <si>
    <t>Ingénieur diplômé de l'université de technologie de Troyes spécialité systèmes réseaux et télécommunications</t>
  </si>
  <si>
    <t>Ingénieur diplômé de l'université Paris 13 en convention avec l'École supérieure d'ingénieurs en électrotechnique et électronique spécialité biosciences</t>
  </si>
  <si>
    <t>Université Paris-Nord 13</t>
  </si>
  <si>
    <t>Ingénieur diplomé de l'université Paris 13 spécialité énergétique</t>
  </si>
  <si>
    <t>Ingénieur diplômé de l'université Paris 13 spécialité informatique</t>
  </si>
  <si>
    <t>Ingénieur diplômé de l'université Paris 13 spécialité télécommunications et réseaux</t>
  </si>
  <si>
    <t>Ingénieur diplômé de Télécom Bretagne de l'institut Mines -Télécom</t>
  </si>
  <si>
    <t>Télécom Bretagne</t>
  </si>
  <si>
    <t>Ingénieur diplômé de Télécom Bretagne de l'institut Mines -Télécom spécialité réseaux et télécommunications en partenariat avec l'ITII Bretagne</t>
  </si>
  <si>
    <t>Institut des techniques d'ingénieur de l'industrie de Bretagne (ITII), Télécom B</t>
  </si>
  <si>
    <t>Ingénieur diplômé de Télécom Lille</t>
  </si>
  <si>
    <t>Télécom Lille</t>
  </si>
  <si>
    <t>Ingénieur diplômé de Télécom physique Strasbourg de l'université de Strasbourg spécialité électronique et informatique industrielle en partenariat avec l'ITII Alsace</t>
  </si>
  <si>
    <t>Institut des techniques d'ingénieur de l'industrie d'Alsace (ITII d'Alsace), Tél</t>
  </si>
  <si>
    <t>Ingénieur diplômé de Télécom Saint-Etienne de l'université de Saint-Etienne spécialité optique en partenariat avec l'ITII Loire</t>
  </si>
  <si>
    <t>Institut des techniques d'ingénieur de l'industrie des Pays de la Loire (ITII Pa</t>
  </si>
  <si>
    <t>Ingénieur diplômé de Télécom Sud Paris de l'Institut Mines-Télécom spécialité réseaux</t>
  </si>
  <si>
    <t>Télécom SudParis</t>
  </si>
  <si>
    <t>Ingénieur diplômé de Télécom SudParis de l'institut Mines-Télécom</t>
  </si>
  <si>
    <t>Ingénieur diplômé du centre international d'études supérieures en sciences agronomiques spécialité agronome à vocation générale</t>
  </si>
  <si>
    <t>Centre international d'études supérieures en sciences agronomiques (Montpellier</t>
  </si>
  <si>
    <t>Ingénieur diplômé du centre universitaire de formation et de recherche du Nord-Est Midi-Pyrénées Jean-François Champollion spécialité informatique pour la santé</t>
  </si>
  <si>
    <t>Centre universitaire de formation et de recherche du Nord-Est Midi-Pyrénées Jean</t>
  </si>
  <si>
    <t>Ingénieur diplômé du centre universitaire des sciences et techniques de l'université Clermont-Ferrand 2 spécialité génie biologique</t>
  </si>
  <si>
    <t>Polytech'Clermont-Ferrand / Université Clermont-Ferrand 2</t>
  </si>
  <si>
    <t>Ingénieur diplômé du centre universitaire des sciences et techniques de l'université Clermont-Ferrand 2 spécialité génie mathématique et modélisation</t>
  </si>
  <si>
    <t>Ingénieur diplômé du CESI  spécialité systèmes électriques et électroniques embarqués  en partenariat avec l'ITII Midi-Pyrénées</t>
  </si>
  <si>
    <t>CESI, Institut des techniques d'ingénieur de l'industrie de Midi-Pyrénées (ITII</t>
  </si>
  <si>
    <t>Ingénieur diplômé du conservatoire national des arts et métiers spécialité systèmes électroniques en partenariat avec l'ITII Ile-de-France</t>
  </si>
  <si>
    <t>Conservatoire national des arts et métiers (CNAM), Institut des techniques d'ing</t>
  </si>
  <si>
    <t>Ingénieur Ensica diplômé de l'institut supérieur de l'aéronautique et de l'espace</t>
  </si>
  <si>
    <t>Institut supérieur de l'aéronautique et de l'espace (ISAE)</t>
  </si>
  <si>
    <t>Ingénieur spécialisé en communication pour les systèmes de transport intelligents diplômé d'Eurecom</t>
  </si>
  <si>
    <t>Institut Eurecom</t>
  </si>
  <si>
    <t>Ingénieur spécialisé en énergie et procédés, diplômé de l'école nationale supérieure du pétrole et des moteurs</t>
  </si>
  <si>
    <t>Ecole nationale supérieure du pétrole et des moteurs (ENSPM)</t>
  </si>
  <si>
    <t>Ingénieur spécialisé en génie atomique diplômé de l'Institut national des sciences et techniques nucléaires</t>
  </si>
  <si>
    <t>Institut national des sciences et techniques nucléaires (INSTN) - Gif-sur-Yvette</t>
  </si>
  <si>
    <t>Ingénieur spécialisé en infrastructures et géotechnique diplômé de l'institut supérieur du bâtiment et des travaux publics</t>
  </si>
  <si>
    <t>Institut supérieur du bâtiment et des travaux publics (ISBA-TP) / Université d'A</t>
  </si>
  <si>
    <t>Ingénieur spécialisé en ouvrages d'art diplômé de l'institut supérieur du bâtiment et des travaux publics</t>
  </si>
  <si>
    <t>Ingénieur spécialisé en sécurité pour les systèmes informatiques et les communications diplômé d'Eurecom</t>
  </si>
  <si>
    <t>Juriste d'affaires</t>
  </si>
  <si>
    <t>Juriste manager international</t>
  </si>
  <si>
    <t>Manager - directeur d'unité opérationnelle</t>
  </si>
  <si>
    <t>Audencia group</t>
  </si>
  <si>
    <t>Manager achats et supply chain (dernière session 2017)</t>
  </si>
  <si>
    <t>Ecole supérieure de commerce de La Rochelle - Groupe Sup de Co La Rochelle, Inst</t>
  </si>
  <si>
    <t>Manager administratif et financier</t>
  </si>
  <si>
    <t>Ecole supérieure européenne de management par alternance - Lyon (ECEMA)</t>
  </si>
  <si>
    <t>Manager commercial clients grands-comptes</t>
  </si>
  <si>
    <t>Manager communication d'entreprise</t>
  </si>
  <si>
    <t>Manager comptable et financier</t>
  </si>
  <si>
    <t>Institut supérieur d'informatique et de management de l'information - Pôle Paris</t>
  </si>
  <si>
    <t>Manager d'affaires internationales</t>
  </si>
  <si>
    <t>Centre d'études supérieures du commerce international</t>
  </si>
  <si>
    <t>Manager de domaines viticoles</t>
  </si>
  <si>
    <t>Manager de la chaîne logistique</t>
  </si>
  <si>
    <t>Manager de la chaîne logistique - supply chain manager</t>
  </si>
  <si>
    <t>Manager de la communication</t>
  </si>
  <si>
    <t>Manager de la communication numérique</t>
  </si>
  <si>
    <t>Institut international du multimédia (IIM) / Pôle universitaire Léonard de Vinci</t>
  </si>
  <si>
    <t>Manager de la performance industrielle</t>
  </si>
  <si>
    <t>Manager de la stratégie commerciale</t>
  </si>
  <si>
    <t>Association internationale pour la formation</t>
  </si>
  <si>
    <t>Manager de la stratégie et de la politique commerciale</t>
  </si>
  <si>
    <t>Etudes supérieures appliquées aux affaires (ESA3)</t>
  </si>
  <si>
    <t>Manager de la supply chain</t>
  </si>
  <si>
    <t>Manager de l'achat international</t>
  </si>
  <si>
    <t>Manager de l'assurance</t>
  </si>
  <si>
    <t>École supérieure d'assurances</t>
  </si>
  <si>
    <t>Manager de l'organisation des ressources humaines et des relations sociales</t>
  </si>
  <si>
    <t>Institut supérieur de gestion du personnel (ISGP) - FACLIP</t>
  </si>
  <si>
    <t>Manager de politiques et stratégies des ressources humaines</t>
  </si>
  <si>
    <t>Manager de portefeuille de projets</t>
  </si>
  <si>
    <t>Manager de projet</t>
  </si>
  <si>
    <t>Manager de projet événementiel</t>
  </si>
  <si>
    <t>Manager de projets communication</t>
  </si>
  <si>
    <t>Association Saint-Anne, Institut de relations publiques et de la communication (</t>
  </si>
  <si>
    <t>Manager de projets de construction</t>
  </si>
  <si>
    <t>Manager de projets internationaux</t>
  </si>
  <si>
    <t>École supérieure de commerce et de développement - 3A</t>
  </si>
  <si>
    <t>Manager de projets technologiques et innovants</t>
  </si>
  <si>
    <t>Manager de système qualité sécurité environnement</t>
  </si>
  <si>
    <t>Manager d'entreprise (dernière session 2015)</t>
  </si>
  <si>
    <t>Manager d'entreprise (dernière session 2017)</t>
  </si>
  <si>
    <t>EFGC - EMD école de management</t>
  </si>
  <si>
    <t>Manager d'entreprise ou de centre de profit</t>
  </si>
  <si>
    <t>Institut de formation aux affaires et à la gestion (IFAG)</t>
  </si>
  <si>
    <t>Manager d'entreprises d'assurances</t>
  </si>
  <si>
    <t>Manager des achats (dernière session 2015)</t>
  </si>
  <si>
    <t>Formatives</t>
  </si>
  <si>
    <t>Manager des achats (dernière session 2016)</t>
  </si>
  <si>
    <t>Chambre de commerce et d'industrie territoriale Saint-Etienne Montbrison - ESC S</t>
  </si>
  <si>
    <t>Manager des achats (dernière session 2017)</t>
  </si>
  <si>
    <t>Manager des achats et de la chaîne logistique (supply chain)</t>
  </si>
  <si>
    <t>AUDENCIA Nantes</t>
  </si>
  <si>
    <t>Manager des achats internationaux (dernière session 2016)</t>
  </si>
  <si>
    <t>Manager des achats internationaux (dernière session 2019)</t>
  </si>
  <si>
    <t>Manager des activités du tourisme et des voyages</t>
  </si>
  <si>
    <t>Ecole supérieure de commerce et d'administration des entreprises du tourisme (ES</t>
  </si>
  <si>
    <t>Manager des affaires juridiques et financières internationales</t>
  </si>
  <si>
    <t>Ecole des praticiens du commerce international - Groupe ESSEC</t>
  </si>
  <si>
    <t>Manager des entreprises de la communication</t>
  </si>
  <si>
    <t>Ecole supérieure de la publicité</t>
  </si>
  <si>
    <t>Manager des opérations logistiques internationales</t>
  </si>
  <si>
    <t>Promotrans</t>
  </si>
  <si>
    <t>Manager des organisations</t>
  </si>
  <si>
    <t>Manager des organisations à l'international</t>
  </si>
  <si>
    <t>Centre d'études franco-américain de management</t>
  </si>
  <si>
    <t>Manager des relations sociales en entreprise</t>
  </si>
  <si>
    <t>Ecole technique privée Ecoris Chambéry</t>
  </si>
  <si>
    <t>Manager des ressources humaines (dernière session 2016)</t>
  </si>
  <si>
    <t>Manager des ressources humaines (dernière session 2018)</t>
  </si>
  <si>
    <t>Manager des risques (MS) (dernière session 2017)</t>
  </si>
  <si>
    <t>Ecole internationale des sciences du traitement de l'information (EISTI)</t>
  </si>
  <si>
    <t>Manager des risques (MS) (dernière session 2020)</t>
  </si>
  <si>
    <t>Manager des risques industriels</t>
  </si>
  <si>
    <t>Manager dirigeant</t>
  </si>
  <si>
    <t>Ecole supérieure de management (ESCP Europe)</t>
  </si>
  <si>
    <t>Manager d'organismes à vocation sociale et culturelle</t>
  </si>
  <si>
    <t>Manager du développement commercial (dernière session 2015)</t>
  </si>
  <si>
    <t>Ecole supérieure de management de l'entreprise - groupe EDHEC (ESPEME) - Lille</t>
  </si>
  <si>
    <t>Institut des professions des affaires et du commerce d'Annecy (IPAC)</t>
  </si>
  <si>
    <t>Weller International Business School (WELLER)</t>
  </si>
  <si>
    <t>Manager du développement commercial et international</t>
  </si>
  <si>
    <t>Manager du développement d'entreprise ou d'unité opérationnelle</t>
  </si>
  <si>
    <t>Groupe Sup de Co Montpellier business school</t>
  </si>
  <si>
    <t>Manager du développement des entreprises et des organisations</t>
  </si>
  <si>
    <t>Manager du développement des ressources humaines et relations sociales</t>
  </si>
  <si>
    <t>Direction RH - l'école des ressources humaines</t>
  </si>
  <si>
    <t>Manager du développement durable</t>
  </si>
  <si>
    <t>Manager du développement international (dernière session 2015)</t>
  </si>
  <si>
    <t>École supérieure de gestion et commerce international - Pôle ESG (ESGCI)</t>
  </si>
  <si>
    <t>Manager du développement marketing et commercial</t>
  </si>
  <si>
    <t>Manager du marketing et de la communication</t>
  </si>
  <si>
    <t>Manager du marketing et de la communication intégrée</t>
  </si>
  <si>
    <t>Groupe Sciences U - Efficom Lille, Groupe Sciences U - Lyon</t>
  </si>
  <si>
    <t>Manager d'unité opérationnelle (dernière session 2017)</t>
  </si>
  <si>
    <t>Institut supérieur de l'entreprise</t>
  </si>
  <si>
    <t>Manager en biotechnologies</t>
  </si>
  <si>
    <t>Manager en développement durable</t>
  </si>
  <si>
    <t>Manager en gestion financière</t>
  </si>
  <si>
    <t>ESGCV - MBA ESG</t>
  </si>
  <si>
    <t>Manager en ingénierie d'affaires</t>
  </si>
  <si>
    <t>Sup de vente</t>
  </si>
  <si>
    <t>Manager en ingénierie de la communication numérique interactive</t>
  </si>
  <si>
    <t>Gobelins - Ecole de l'image</t>
  </si>
  <si>
    <t>Manager en ingénierie informatique</t>
  </si>
  <si>
    <t>Ecole supérieure en informatique, gestion, management par alternance (ITESCIA)</t>
  </si>
  <si>
    <t>Manager en ressources humaines (dernière session 2015)</t>
  </si>
  <si>
    <t>Groupe Sciences U - CRESPA Lyon, Institut des professions des affaires et du com</t>
  </si>
  <si>
    <t>Manager en ressources humaines (dernière session 2017)</t>
  </si>
  <si>
    <t>Ecole de management de Normandie</t>
  </si>
  <si>
    <t>Manager en stratégie et développement</t>
  </si>
  <si>
    <t>Groupe ISEE</t>
  </si>
  <si>
    <t>Manager en stratégie et développement des organisations</t>
  </si>
  <si>
    <t>Institut régional universitaire polytechnique</t>
  </si>
  <si>
    <t>Manager et entrepreneuriat de projets numériques</t>
  </si>
  <si>
    <t>Association campus fonderie de l'image</t>
  </si>
  <si>
    <t>Manager financier (dernière session 2017)</t>
  </si>
  <si>
    <t>Manager financier (dernière session 2018)</t>
  </si>
  <si>
    <t>Institut des hautes études économiques et commerciales (INSEEC) - Bordeaux</t>
  </si>
  <si>
    <t>Manager international</t>
  </si>
  <si>
    <t>Manager marketing</t>
  </si>
  <si>
    <t>Manager marketing direct et commerce électronique (MS)</t>
  </si>
  <si>
    <t>Manager marketing et commercial (dernière session 2016)</t>
  </si>
  <si>
    <t>Manager marketing et commercial (dernière session 2020)</t>
  </si>
  <si>
    <t>Manager marketing international</t>
  </si>
  <si>
    <t>Manager qualité sécurité environnement</t>
  </si>
  <si>
    <t>Manager relation client</t>
  </si>
  <si>
    <t>Manager ressources humaines</t>
  </si>
  <si>
    <t>IPL - ISEFAC Paris Lille</t>
  </si>
  <si>
    <t>Manager stratégique web</t>
  </si>
  <si>
    <t>Manager transport, logistique et commerce international</t>
  </si>
  <si>
    <t>AFTRAL, KEDGE Business School - Aquitaine</t>
  </si>
  <si>
    <t>Master arts, lettres, langues mention arts spécialité création et management multimédia</t>
  </si>
  <si>
    <t>Université Rennes 2 - Haute Bretagne</t>
  </si>
  <si>
    <t>Master arts, lettres, langues mention arts spécialité musique appliquée aux arts visuels  (maav)</t>
  </si>
  <si>
    <t>Université Lumière Lyon 2</t>
  </si>
  <si>
    <t>Master arts, lettres, langues mention information et communication spécialité audiovisuel et médias numériques</t>
  </si>
  <si>
    <t>Université Stendhal - Grenoble 3</t>
  </si>
  <si>
    <t>Master arts, lettres, langues mention information et communication spécialité communication internet - gestion editoriale</t>
  </si>
  <si>
    <t>Master arts, lettres, langues mention journalisme</t>
  </si>
  <si>
    <t>Master arts, lettres, langues mention musique et musicologie spécialité direction de choeur</t>
  </si>
  <si>
    <t>10/12/2015</t>
  </si>
  <si>
    <t>Université Paris - Sorbonne</t>
  </si>
  <si>
    <t>Master arts, lettres, langues mention musique et musicologie spécialité musicien d'orchestre</t>
  </si>
  <si>
    <t>Master arts, lettres, langues mention sciences du langage spécialité langage et enjeux de société</t>
  </si>
  <si>
    <t>Master culture et communication mention création, innovation, information numériques spécialité création et édition numériques</t>
  </si>
  <si>
    <t>Université Paris 8 - Vincennes-Saint-Denis</t>
  </si>
  <si>
    <t>Master culture et communication mention création, innovation, information numériques spécialité design d'interface multimédia et internet</t>
  </si>
  <si>
    <t>Master culture et communication mention création, innovation, information numériques spécialité innovations en communication</t>
  </si>
  <si>
    <t>Master culture et communication mention création, innovation, information numériques spécialité numérique : enjeux et technologies</t>
  </si>
  <si>
    <t>Master droit, économie, gestion mention administration des affaires  spécialité administration des entreprises</t>
  </si>
  <si>
    <t>Université de Lorraine</t>
  </si>
  <si>
    <t>Master droit, économie, gestion mention administration des entreprises</t>
  </si>
  <si>
    <t>Université Poitiers</t>
  </si>
  <si>
    <t>Université de Caen Basse-Normandie</t>
  </si>
  <si>
    <t>Master droit, économie, gestion mention administration des entreprises spécialité administration des entreprises</t>
  </si>
  <si>
    <t>Université Toulon - Var</t>
  </si>
  <si>
    <t>Université de Strasbourg</t>
  </si>
  <si>
    <t>Master droit, économie, gestion mention administration des entreprises spécialité encadrement des établissements de la santé et du social</t>
  </si>
  <si>
    <t>Université Nice - Sophia Antipolis</t>
  </si>
  <si>
    <t>Master droit, économie, gestion mention administration économique et sociale spécialité droit et développement de l'économie sociale et solidaire</t>
  </si>
  <si>
    <t>Master droit, économie, gestion mention administration et échanges internationaux spécialité commerce électronique</t>
  </si>
  <si>
    <t>Université Paris-Est Créteil Val de-Marne</t>
  </si>
  <si>
    <t>Master droit, économie, gestion mention administration et gestion des entreprises spécialité administration des entreprises</t>
  </si>
  <si>
    <t>Université Versailles Saint-Quentin-en-Yvelines</t>
  </si>
  <si>
    <t>Master droit, économie, gestion mention affaires internationales et ingénierie économique spécialité économie et gestion de l'environnement et du développement durable</t>
  </si>
  <si>
    <t>Université Littoral - Côte d'Opale</t>
  </si>
  <si>
    <t>Master droit, économie, gestion mention banque et assurance spécialité banque, finance, assurance</t>
  </si>
  <si>
    <t>Master droit, économie, gestion mention banque, finance, assurance spécialité ingénierie patrimoniale</t>
  </si>
  <si>
    <t>Master droit, économie, gestion mention comptabilité, finance, fiscalité et patrimoine spécialité gestion de patrimoine</t>
  </si>
  <si>
    <t>Aix-Marseille Université</t>
  </si>
  <si>
    <t>Master droit, économie, gestion mention comptabilité-finance spécialité gestion de patrimoine</t>
  </si>
  <si>
    <t>Master droit, économie, gestion mention distribution et marketing spécialité management de la distribution</t>
  </si>
  <si>
    <t>Université Lille 2 - droit et santé</t>
  </si>
  <si>
    <t>Master droit, économie, gestion mention droit des affaires spécialité droit des assurances et de la responsabilité</t>
  </si>
  <si>
    <t>Master droit, économie, gestion mention droit notarial, immobilier et du patrimoine spécialité ingénierie du patrimoine</t>
  </si>
  <si>
    <t>Université Toulouse 1 - sciences sociales</t>
  </si>
  <si>
    <t>Master droit, économie, gestion mention économie et gestion publiques spécialité analyse de projets et développement durable</t>
  </si>
  <si>
    <t>Université Rennes 1</t>
  </si>
  <si>
    <t>Master droit, économie, gestion mention économie et management spécialité transport, espace, réseaux</t>
  </si>
  <si>
    <t>École nationale des travaux publics de l'État / Université de Lyon</t>
  </si>
  <si>
    <t>Master droit, économie, gestion mention économie et management spécialité transports urbains et régionaux de personnes</t>
  </si>
  <si>
    <t>Master droit, économie, gestion mention finance et affaires internationales spécialité gestion des risques et clientèle entreprise</t>
  </si>
  <si>
    <t>Université Nantes</t>
  </si>
  <si>
    <t>Master droit, économie, gestion mention finance et banque spécialité gestion de patrimoine</t>
  </si>
  <si>
    <t>Master droit, économie, gestion mention finance et contrôle spécialité banque et patrimoine</t>
  </si>
  <si>
    <t>Université Jean Moulin - Lyon 3</t>
  </si>
  <si>
    <t>Master droit, économie, gestion mention finance, assurance, actuariat, banque spécialité actuariat</t>
  </si>
  <si>
    <t>Master droit, économie, gestion mention finance, contrôle, audit spécialité métiers de la banque et de la finance</t>
  </si>
  <si>
    <t>Université Tours - François Rabelais</t>
  </si>
  <si>
    <t>Master droit, économie, gestion mention géographie, économie spécialité développement des territoires, aménagement et environnement</t>
  </si>
  <si>
    <t>Université d'Artois</t>
  </si>
  <si>
    <t>Master droit, économie, gestion mention information et communication spécialité veille technologique et innovation</t>
  </si>
  <si>
    <t>Master droit, économie, gestion mention ingénierie et management des organisations spécialité administration des entreprises</t>
  </si>
  <si>
    <t>Université d'Orléans</t>
  </si>
  <si>
    <t>Master droit, économie, gestion mention ingénierie et management spécialité administration des entreprises</t>
  </si>
  <si>
    <t>Université Lille 1 - sciences et technologies</t>
  </si>
  <si>
    <t>Master droit, économie, gestion mention ingénierie et management spécialité management par projets</t>
  </si>
  <si>
    <t>Master droit, économie, gestion mention management des organisations sanitaires et sociales spécialité ingénierie de la protection sociale</t>
  </si>
  <si>
    <t>Université Paris-Est Marne-la-Vallée</t>
  </si>
  <si>
    <t>Master droit, économie, gestion mention management des ressources humaines spécialité gestion des ressources humaines</t>
  </si>
  <si>
    <t>Master droit, économie, gestion mention management des systèmes d'information spécialité management des systèmes d'information</t>
  </si>
  <si>
    <t>Master droit, économie, gestion mention management spécialité administration des entreprises</t>
  </si>
  <si>
    <t>Université de Rouen</t>
  </si>
  <si>
    <t>Université Montesquieu - Bordeaux 4</t>
  </si>
  <si>
    <t>Université de Franche-Comté</t>
  </si>
  <si>
    <t>Université du Maine - Le Mans</t>
  </si>
  <si>
    <t>Université Pierre Mendès-France</t>
  </si>
  <si>
    <t>Université Perpignan</t>
  </si>
  <si>
    <t>Université Reims Champagne-Ardenne</t>
  </si>
  <si>
    <t>Master droit, économie, gestion mention management spécialité assurance et gestion du patrimoine</t>
  </si>
  <si>
    <t>Master droit, économie, gestion mention management spécialité gestion des entreprises sociales et de santé</t>
  </si>
  <si>
    <t>Master droit, économie, gestion mention management spécialité gestion des ressources humaines</t>
  </si>
  <si>
    <t>Master droit, économie, gestion mention management spécialité management des opérations</t>
  </si>
  <si>
    <t>Master droit, économie, gestion mention management spécialité management stratégique des achats</t>
  </si>
  <si>
    <t>Master droit, économie, gestion mention marketing spécialité carrières commerciales de la banque et de l'assurance</t>
  </si>
  <si>
    <t>Master droit, économie, gestion mention méthodes informatiques appliquées à la gestion des entreprises spécialité méthodes informatiques appliquées à la gestion des entreprises</t>
  </si>
  <si>
    <t>Master droit, économie, gestion mention politiques sociales</t>
  </si>
  <si>
    <t>Université d'Avignon et des Pays de Vaucluse</t>
  </si>
  <si>
    <t>Master droit, économie, gestion mention santé publique spécialité économie et gestion des établissements sanitaires et sociaux</t>
  </si>
  <si>
    <t>Master droit, économie, gestion mention science du management spécialité administration des entreprises</t>
  </si>
  <si>
    <t>Université de Picardie Jules Verne</t>
  </si>
  <si>
    <t>Master droit, économie, gestion mention science politique : politiques publiques et changement social spécialité développement et expertise de l'économie sociale</t>
  </si>
  <si>
    <t>Institut d'études politiques (Sciences Po) de Grenoble / Université de Grenoble</t>
  </si>
  <si>
    <t>Master droit, économie, gestion mention science politique spécialité conduire et évaluer les politiques publiques</t>
  </si>
  <si>
    <t>Master droit, économie, gestion mention science politique spécialité métiers du journalisme</t>
  </si>
  <si>
    <t>Université Montpellier 1</t>
  </si>
  <si>
    <t>Master droit, économie, gestion mention sciences du management spécialité administration des entreprises</t>
  </si>
  <si>
    <t>Université de Corse Pascal Paoli</t>
  </si>
  <si>
    <t>Université Limoges</t>
  </si>
  <si>
    <t>Université Bourgogne</t>
  </si>
  <si>
    <t>Master droit, économie, gestion mention sciences du management spécialité gestion des ressources humaines</t>
  </si>
  <si>
    <t>Master droit, économie, gestion mention sciences du management spécialité marketing des services</t>
  </si>
  <si>
    <t>Université de Bretagne Occidentale</t>
  </si>
  <si>
    <t>Master droit, science politique mention droit social spécialité juristes de droit social</t>
  </si>
  <si>
    <t>Université Panthéon Sorbonne</t>
  </si>
  <si>
    <t>Master économie et gestion mention management spécialité management des associations</t>
  </si>
  <si>
    <t>Master économie et gestion mention management spécialité marketing et pratiques commerciales</t>
  </si>
  <si>
    <t>Master sciences de la mer et du littoral mention chimie de l'environnement marin</t>
  </si>
  <si>
    <t>Master sciences de la mer et du littoral mention expertise et gestion de l'environnement littoral</t>
  </si>
  <si>
    <t>Master sciences de la mer et du littoral mention géosciences Brest</t>
  </si>
  <si>
    <t>Master sciences de la mer et du littoral mention sciences biologiques marines spécialité valorisations biotechnologiques des ressources marines</t>
  </si>
  <si>
    <t>Master sciences des organisations (droit, économie, gestion, sciences sociales) mention gestion de patrimoine spécialité gestion de patrimoine</t>
  </si>
  <si>
    <t>Université Paris-Dauphine</t>
  </si>
  <si>
    <t>Master sciences des organisations (droit, économie, gestion, sciences sociales) mention management et organisation spécialité executive business administration</t>
  </si>
  <si>
    <t>Master sciences des organisations (droit, économie, gestion, sciences sociales) mention marketing et stratégie spécialité marketing - vente</t>
  </si>
  <si>
    <t>Master sciences et technologies mention mécanique physique et ingénierie spécialité mécanique des fluides et physique non linéaire</t>
  </si>
  <si>
    <t>Master sciences et technologies mention mécanique, physique et ingénierie spécialité écoulements diphasiques, énergétique et combustion</t>
  </si>
  <si>
    <t>Master sciences et technologies mention microbiologie, biologie végétale et biotechnologies spécialité microbiologie et biotechnologie</t>
  </si>
  <si>
    <t>Master sciences et technologies mention physique spécialité instrumentation, optique et lasers</t>
  </si>
  <si>
    <t>Master sciences et technologies mention sciences de l'environnement terrestre spécialité management de l'environnement, valorisation et analyse (maeva)</t>
  </si>
  <si>
    <t>Master sciences et technologies mention sciences pour l'énergie spécialité sciences et technologies des énergies renouvelables</t>
  </si>
  <si>
    <t>Institut des sciences et technologies de Paris (ParisTech)</t>
  </si>
  <si>
    <t>Master sciences humaines et sociales mention  territoires,culture, tourisme et dynamiques transfrontalières spécialité culture, création artistique et développement du territoire</t>
  </si>
  <si>
    <t>Master sciences humaines et sociales mention conduite de projets et développement des territoires spécialité conduite de projets en sport, santé et territoires</t>
  </si>
  <si>
    <t>Master sciences humaines et sociales mention conduite de projets et développement des territoires spécialité formation, animation, développement territorial et transfrontalier</t>
  </si>
  <si>
    <t>Master sciences humaines et sociales mention conduite de projets et développement des territoires spécialité villes et territoires en transformation</t>
  </si>
  <si>
    <t>Master sciences humaines et sociales mention éducation, formation, communication spécialité ingénierie de l'intervention en milieu socio-éducatif (IIMSE)</t>
  </si>
  <si>
    <t>Master sciences humaines et sociales mention éducation, travail et formation spécialité expertise, ingénierie, direction d'organisations</t>
  </si>
  <si>
    <t>Master sciences humaines et sociales mention éducation, travail et formation spécialité interventions et politiques sociales</t>
  </si>
  <si>
    <t>Master sciences humaines et sociales mention environnement et développement durable spécialité biodiversité, territoires, environnement</t>
  </si>
  <si>
    <t>Master sciences humaines et sociales mention géographie - aménagement spécialité exploitation et développement des réseaux de transports publics</t>
  </si>
  <si>
    <t>Université de Cergy-Pontoise</t>
  </si>
  <si>
    <t>Master sciences humaines et sociales mention géographie et aménagement spécialité géomarketing et stratégies territoriales des entreprises et des institutions publiques</t>
  </si>
  <si>
    <t>Master sciences humaines et sociales mention géographie et aménagement spécialité géomatique</t>
  </si>
  <si>
    <t>Université de Toulouse 2 Le Mirail Jean Jaurès</t>
  </si>
  <si>
    <t>Master sciences humaines et sociales mention géographie, aménagement, environnement et logistique des échanges spécialité transports, logistique, territoires, environnement</t>
  </si>
  <si>
    <t>Master sciences humaines et sociales mention géographie, aménagement, sociologie spécialité développement durable, aménagement, société</t>
  </si>
  <si>
    <t>Master sciences humaines et sociales mention histoire spécialité histoire et médias, conservation et documentation de l'image et du son</t>
  </si>
  <si>
    <t>Master sciences humaines et sociales mention histoire, géographie spécialité aménagement et développement des territoires maritimes et littoraux</t>
  </si>
  <si>
    <t>Université de Bretagne-Sud</t>
  </si>
  <si>
    <t>Master sciences humaines et sociales mention humanités numériques spécialité analyse et valorisation des usages numériques</t>
  </si>
  <si>
    <t>Master sciences humaines et sociales mention information et communication spécialité journalisme</t>
  </si>
  <si>
    <t>Master sciences humaines et sociales mention information et communication spécialité web éditorial</t>
  </si>
  <si>
    <t>Master sciences humaines et sociales mention ingénierie et gestion territoriales spécialité géomatique</t>
  </si>
  <si>
    <t>Université Paul-Valéry Montpellier 3</t>
  </si>
  <si>
    <t>Master sciences humaines et sociales mention ingénierie et gestion territoriales spécialité gestion agricole et territoires</t>
  </si>
  <si>
    <t>Master sciences humaines et sociales mention métiers des archives</t>
  </si>
  <si>
    <t>Master sciences humaines et sociales mention politiques sociales, santé et solidarité spécialité administration et coordination des interventions sociales et de santé</t>
  </si>
  <si>
    <t>Master sciences humaines et sociales mention psychologie spécialité psychologie de l'accompagnement professionnel</t>
  </si>
  <si>
    <t>Master sciences humaines et sociales mention sciences de l'éducation et de la formation spécialité métiers, pratiques et recherches en éducation et formation</t>
  </si>
  <si>
    <t>Master sciences humaines et sociales mention sciences de l'éducation et de la formation spécialité politiques enfance jeunesse</t>
  </si>
  <si>
    <t>Master sciences humaines et sociales mention sciences de l'éducation et de la formation spécialité recherche en éducation, formation et pratiques sociales</t>
  </si>
  <si>
    <t>Master sciences humaines et sociales mention sociologie spécialité intervention sociale, conflits et développement</t>
  </si>
  <si>
    <t>Master sciences humaines et sociales mention territoires,culture, tourisme et dynamiques transfrontalières spécialité mutations des territoires urbains et développement intégré des littoraux</t>
  </si>
  <si>
    <t>Master sciences humaines et sociales mention territoires,culture, tourisme et dynamiques transfrontalières spécialité tourisme littoral</t>
  </si>
  <si>
    <t>Master sciences politiques et sociales mention journalisme</t>
  </si>
  <si>
    <t>Master sciences, technologies, santé mention agrosciences spécialité hydrogéologie, sol et environnement</t>
  </si>
  <si>
    <t>Master sciences, technologies, santé mention aménagement et urbanisme durables environnement spécialité aménagement et environnement</t>
  </si>
  <si>
    <t>Master sciences, technologies, santé mention aménagement et urbanisme durables environnement spécialité urbanisme et développement</t>
  </si>
  <si>
    <t>Master sciences, technologies, santé mention aménagement, urbanisme et développement des territoires spécialité construction et aménagement durable</t>
  </si>
  <si>
    <t>Master sciences, technologies, santé mention biodiversité - écologie - environnement spécialité aménagement des espaces ruraux et péri-urbanisation</t>
  </si>
  <si>
    <t>Master sciences, technologies, santé mention biodiversité - écologie - environnement spécialité écologie fonctionnelle, comportementale et évolutive</t>
  </si>
  <si>
    <t>Master sciences, technologies, santé mention biodiversité - écologie - environnement spécialité environnement et droit</t>
  </si>
  <si>
    <t>Master sciences, technologies, santé mention biodiversité - écologie - environnement spécialité gestion des habitats et des bassins versants</t>
  </si>
  <si>
    <t>Master sciences, technologies, santé mention biologie, agronomie, santé spécialité biologie-gestion</t>
  </si>
  <si>
    <t>Master sciences, technologies, santé mention chimie - matériaux spécialité polymères fonctionnels</t>
  </si>
  <si>
    <t>Master sciences, technologies, santé mention chimie spécialité énergies nouvelles et renouvelables</t>
  </si>
  <si>
    <t>Master sciences, technologies, santé mention chimie spécialité sciences et génie des matériaux</t>
  </si>
  <si>
    <t>Master sciences, technologies, santé mention chimie spécialité sciences et ingénierie de l'environnement (sie)</t>
  </si>
  <si>
    <t>Université d'Angers</t>
  </si>
  <si>
    <t>Master sciences, technologies, santé mention écologie, environnement spécialité éco-ingénierie des zones humides, biodiversité, bio-indicateurs</t>
  </si>
  <si>
    <t>Ecole nationale supérieure agronomique de Rennes (ENSA Rennes) / Agrocampus Renn</t>
  </si>
  <si>
    <t>Master sciences, technologies, santé mention électronique et télécommunications spécialité systèmes de télécommunications</t>
  </si>
  <si>
    <t>Master sciences, technologies, santé mention électronique, électrotechnique, ondes, automatique spécialité automatique et informatique industrielle</t>
  </si>
  <si>
    <t>Master sciences, technologies, santé mention électronique, gestion de l'énergie spécialité conception, mise en oeuvre et qualité de composants électroniques et optoélectroniques</t>
  </si>
  <si>
    <t>Master sciences, technologies, santé mention électronique, gestion de l'energie spécialité énergies nouvelles et renouvelables</t>
  </si>
  <si>
    <t>Master sciences, technologies, santé mention électronique, télécommunications et réseaux spécialité signaux et circuits</t>
  </si>
  <si>
    <t>Master sciences, technologies, santé mention énergie spécialité ingénierie thermique et énergie</t>
  </si>
  <si>
    <t>Master sciences, technologies, santé mention génie civil</t>
  </si>
  <si>
    <t>Master sciences, technologies, santé mention génie civil spécialité habitat, environnement, qualité</t>
  </si>
  <si>
    <t>Master sciences, technologies, santé mention génie civil, urbanisme et aménagement</t>
  </si>
  <si>
    <t>Université Valenciennes et du Hainaut-Cambrésis</t>
  </si>
  <si>
    <t>Master sciences, technologies, santé mention génie de la mobilité durable spécialité transport et développement durable</t>
  </si>
  <si>
    <t>Ecole nationale des ponts et chaussées (ENPC), Ecole nationale supérieure des mi</t>
  </si>
  <si>
    <t>Master sciences, technologies, santé mention génie des environnements naturels et industriels spécialité management environnemental - déchets - énergie</t>
  </si>
  <si>
    <t>Master sciences, technologies, santé mention génie des systèmes industriels spécialité instrumentation, mesures, qualité</t>
  </si>
  <si>
    <t>Master sciences, technologies, santé mention génie des systèmes industriels spécialité production maintenance</t>
  </si>
  <si>
    <t>Master sciences, technologies, santé mention génie des systèmes pour l'aéronautique et les transports spécialité ingénierie des structures composites</t>
  </si>
  <si>
    <t>Université Bordeaux 1</t>
  </si>
  <si>
    <t>Master sciences, technologies, santé mention génie des systèmes pour l'aéronautique et les transports spécialité ingénierie et maintenance en aéronautique</t>
  </si>
  <si>
    <t>Master sciences, technologies, santé mention génie électrique et informatique industrielle spécialité électro-énergétique industrielle</t>
  </si>
  <si>
    <t>Master sciences, technologies, santé mention génie électrique et informatique industrielle spécialité ingénierie des systèmes électriques</t>
  </si>
  <si>
    <t>Master sciences, technologies, santé mention génie industriel et logistique spécialité conception méthodes innovation</t>
  </si>
  <si>
    <t>Master sciences, technologies, santé mention génie mécanique et civil, automatique, robotique spécialité conception innovante, maintenance, durabilité</t>
  </si>
  <si>
    <t>Université Blaise Pascal - Clermont-Ferrand 2</t>
  </si>
  <si>
    <t>Master sciences, technologies, sante mention génie pétrolier spécialité géosciences</t>
  </si>
  <si>
    <t>Master sciences, technologies, santé mention géosphère spécialité hydrogeologie, sol et environnement</t>
  </si>
  <si>
    <t>Université La Réunion</t>
  </si>
  <si>
    <t>Master sciences, technologies, santé mention gestion des risques spécialité management des risques et des systèmes d'information</t>
  </si>
  <si>
    <t>Master sciences, technologies, santé mention gestion des risques spécialité management des risques industriels et environnementaux</t>
  </si>
  <si>
    <t>Master sciences, technologies, santé mention image et son</t>
  </si>
  <si>
    <t>Master sciences, technologies, santé mention informatique des organisations spécialité informatique collaborative en entreprise</t>
  </si>
  <si>
    <t>Master sciences, technologies, santé mention informatique des organisations spécialité systèmes d'information et de décision</t>
  </si>
  <si>
    <t>Master sciences, technologies, santé mention informatique spécialité algorithmes et méthodes formelles</t>
  </si>
  <si>
    <t>Master sciences, technologies, santé mention informatique spécialité architectures logicielles</t>
  </si>
  <si>
    <t>Master sciences, technologies, santé mention informatique spécialité bio-informatique</t>
  </si>
  <si>
    <t>Master sciences, technologies, santé mention informatique spécialité conduite de projets informatiques</t>
  </si>
  <si>
    <t>Master sciences, technologies, santé mention informatique spécialité génie logiciel</t>
  </si>
  <si>
    <t>Université Bordeaux 1, Université Bordeaux 1</t>
  </si>
  <si>
    <t>Master sciences, technologies, santé mention informatique spécialité ingénierie des réseaux</t>
  </si>
  <si>
    <t>Master sciences, technologies, santé mention informatique spécialité méthodes informatiques et technologies de l'information et de la communication</t>
  </si>
  <si>
    <t>Master sciences, technologies, santé mention informatique spécialité sécurité des systèmes d'information</t>
  </si>
  <si>
    <t>Master sciences, technologies, santé mention informatique spécialité sécurité des systèmes informatiques</t>
  </si>
  <si>
    <t>Master sciences, technologies, santé mention informatique spécialité systèmes distribués et réseaux</t>
  </si>
  <si>
    <t>Master sciences, technologies, santé mention informatique spécialité technologie de l'internet</t>
  </si>
  <si>
    <t>Master sciences, technologies, santé mention informatique spécialité technologies de l'hypermédia</t>
  </si>
  <si>
    <t>Master sciences, technologies, santé mention ingénierie chimique et biologique spécialité gestion des risques, santé/sécurité, environnement (grisse)</t>
  </si>
  <si>
    <t>Master sciences, technologies, santé mention ingénierie des systèmes électroniques et énergétiques spécialité microélectronique et architecture des circuits intégrés</t>
  </si>
  <si>
    <t>Master sciences, technologies, santé mention ingénierie électrique, électronique et informatique industrielle spécialité énergie électrique</t>
  </si>
  <si>
    <t>Master sciences, technologies, santé mention ingénierie mécanique et civile spécialité innovation, mécanismes, matériaux, structures</t>
  </si>
  <si>
    <t>Master sciences, technologies, santé mention management de la performance et des risques par l'approche qualité - sécurité - environnement</t>
  </si>
  <si>
    <t>Master sciences, technologies, santé mention matériaux spécialité matériaux - qualité et management</t>
  </si>
  <si>
    <t>Master sciences, technologies, santé mention matériaux spécialité polymères fonctionnels</t>
  </si>
  <si>
    <t>Université d'Evry-Val-d'Essonne</t>
  </si>
  <si>
    <t>Master sciences, technologies, santé mention mathématiques et applications spécialité actuariat</t>
  </si>
  <si>
    <t>Master sciences, technologies, santé mention mathématiques et applications spécialité mathématiques de l'information, cryptographie</t>
  </si>
  <si>
    <t>Master sciences, technologies, santé mention mathématiques et applications spécialité mathématiques pour l'assurance,la finance et la santé</t>
  </si>
  <si>
    <t>Master sciences, technologies, santé mention mathématiques et informatique spécialité algorithmique, modélisation, images</t>
  </si>
  <si>
    <t>Master sciences, technologies, santé mention mathématiques et sciences pour l'ingénieur spécialité électronique, instrumentation</t>
  </si>
  <si>
    <t>Master sciences, technologies, santé mention mathématiques et sciences pour l'ingénieur spécialité informatique graphique pour la construction</t>
  </si>
  <si>
    <t>Master sciences, technologies, santé mention mathématiques spécialité actuariat et ingénierie mathématique en assurance et finance</t>
  </si>
  <si>
    <t>Master sciences, technologies, santé mention mathématiques spécialité cryptologie et sécurité informatique</t>
  </si>
  <si>
    <t>Master sciences, technologies, santé mention mécanique et sciences pour l'ingénieur spécialité mécatronique et conception avancée</t>
  </si>
  <si>
    <t>Master sciences, technologies, santé mention mécanique, génie civil, génie mécanique spécialité génie civil</t>
  </si>
  <si>
    <t>Master sciences, technologies, santé mention mécanique, génie civil, génie mécanique spécialité génie mécanique</t>
  </si>
  <si>
    <t>Master sciences, technologies, santé mention mécanique, génie civil, génie mécanique spécialité infrastructures en génie civil</t>
  </si>
  <si>
    <t>Master sciences, technologies, santé mention méthodes informatiques appliquées à la gestion des entreprises  spécialité systèmes d'information distribués</t>
  </si>
  <si>
    <t>Master sciences, technologies, santé mention méthodes informatiques appliquées à la gestion des entreprises (miage) spécialité audit et conception de systèmes d'information</t>
  </si>
  <si>
    <t>Master sciences, technologies, santé mention méthodes informatiques appliquées à la gestion des entreprises spécialité nouvelles technologies et direction de projets</t>
  </si>
  <si>
    <t>Master sciences, technologies, santé mention méthodes informatiques appliquées à la gestion des entreprises spécialité système d'information et management du risque</t>
  </si>
  <si>
    <t>Master sciences, technologies, santé mention méthodes informatiques appliquées a la gestion des entreprises spécialité systèmes d'information</t>
  </si>
  <si>
    <t>Master sciences, technologies, santé mention méthodes informatiques appliquées à la gestion des entreprises(miage) spécialité informatique et innovation</t>
  </si>
  <si>
    <t>Master sciences, technologies, santé mention modèles, analyses et protocoles spécialité diagnostic, environnement et alimentation</t>
  </si>
  <si>
    <t>Université Paul Sabatier Toulouse 3</t>
  </si>
  <si>
    <t>Master sciences, technologies, santé mention modélisation spécialité calcul scientifique et applications</t>
  </si>
  <si>
    <t>Institut national des sciences appliquées de Rennes (INSA Rennes), Université Re</t>
  </si>
  <si>
    <t>Master sciences, technologies, santé mention observation de la terre et géomatique</t>
  </si>
  <si>
    <t>Master sciences, technologies, santé mention physique et chimie pour l'ingénierie spécialité procédés pour la qualité de l'environnement</t>
  </si>
  <si>
    <t>Master sciences, technologies, santé mention physique spécialité énergies nouvelles et renouvelables</t>
  </si>
  <si>
    <t>Master sciences, technologies, santé mention physique, mécanique spécialité génie mécanique</t>
  </si>
  <si>
    <t>Master sciences, technologies, santé mention qualité, hygiène, sécurité, environnement</t>
  </si>
  <si>
    <t>Master sciences, technologies, santé mention sciences actuarielle et financière, ingénierie des risques spécialité gestion des risques en assurance et finance</t>
  </si>
  <si>
    <t>Université Lyon 1 - Claude Bernard</t>
  </si>
  <si>
    <t>Master sciences, technologies, santé mention sciences appliquées à la montagne spécialité géosciences appliquées à l'ingénierie de l'aménagement</t>
  </si>
  <si>
    <t>Université de Savoie</t>
  </si>
  <si>
    <t>Master sciences, technologies, santé mention sciences de la terre et de l'environnement spécialité gestion de l'environnement et du développement durable</t>
  </si>
  <si>
    <t>Master sciences, technologies, santé mention sciences de la terre et de l'environnement spécialité gestion de projets hydro-technologiques et environnementaux : hydroprotech</t>
  </si>
  <si>
    <t>Master sciences, technologies, santé mention sciences de la terre et de l'environnement spécialité hydrogéologie, hydrobiogéochimie, hydropédologie</t>
  </si>
  <si>
    <t>Master sciences, technologies, santé mention sciences de la terre spécialité géologie de l'aménagement</t>
  </si>
  <si>
    <t>Master sciences, technologies, santé mention sciences des aliments spécialité systèmes automatisés de production dans les industries agro-alimentaires</t>
  </si>
  <si>
    <t>Master sciences, technologies, santé mention sciences des matériaux spécialité ingénierie des matériaux hautes performances</t>
  </si>
  <si>
    <t>Master sciences, technologies, santé mention sciences mécaniques appliquées spécialité thermique et énergétique</t>
  </si>
  <si>
    <t>Master sciences, technologies, santé mention sciences pour l'ingénieur : éco-conception spécialité éco-conception des polymères et composites</t>
  </si>
  <si>
    <t>Master Sciences, technologies, santé mention sciences pour l'ingénieur : éco-conception spécialité génie mécanique et matériaux</t>
  </si>
  <si>
    <t>Master sciences, technologies, santé mention sciences pour l'ingénieur et sciences des matériaux spécialité science et génie des matériaux avancés - advanced materials science and engineering</t>
  </si>
  <si>
    <t>Master sciences, technologies, santé mention sciences pour l'ingénieur spécialité maintenance et maîtrise des risques industriels</t>
  </si>
  <si>
    <t>Master sciences, technologies, santé mention sciences pour l'ingénieur spécialité mécanique et ingénieries</t>
  </si>
  <si>
    <t>Master sciences, technologies, santé mention sciences pour l'ingénieur spécialité mécatronique et énergie</t>
  </si>
  <si>
    <t>Master sciences, technologies, santé mention sciences pour l'ingénieur spécialité qualité et management des performances</t>
  </si>
  <si>
    <t>Master sciences, technologies, santé mention sciences pour l'ingénieur spécialité réalité virtuelle et systèmes intelligents</t>
  </si>
  <si>
    <t>Master sciences, technologies, santé mention sciences pour l'ingénieur spécialité smart aerospace and autonomous systems</t>
  </si>
  <si>
    <t>Master sciences, technologies, santé mention sciences, terre et environnement spécialité hydrogéologie et transferts / hydrogeology and associated transfers</t>
  </si>
  <si>
    <t>Master sciences, technologies, santé mention systèmes embarqués et énergie spécialité électronique embarquée et microsystèmes</t>
  </si>
  <si>
    <t>Master sciences,technologies,sante mention génie pétrolier spécialité production traitements</t>
  </si>
  <si>
    <t>Master sciences,technologies,sante mention génie pétrolier spécialité recherches appliquées en génie pétrolier</t>
  </si>
  <si>
    <t>Master sciences,technologies,sante mention génie pétrolier spécialité réservoirs</t>
  </si>
  <si>
    <t>Master ville, environnement, transport mention urbanisme, aménagement et transports spécialité transports et mobilité</t>
  </si>
  <si>
    <t>Musicien professionnel instrumentiste concertiste</t>
  </si>
  <si>
    <t>Négociateur d'affaires internationales</t>
  </si>
  <si>
    <t>Ecole supérieure de commerce international (ESCI)</t>
  </si>
  <si>
    <t>Responsable des achats</t>
  </si>
  <si>
    <t>Responsable e-business / responsable e-marketing</t>
  </si>
  <si>
    <t>Responsable en gestion des ressources humaines</t>
  </si>
  <si>
    <t>Chambre de commerce et d'industrie de Limoges et de la Haute-Vienne, Institut su</t>
  </si>
  <si>
    <t>Responsable en management des ressources humaines (dernière session 2016)</t>
  </si>
  <si>
    <t>Ecole supérieure privée des ressources humaines</t>
  </si>
  <si>
    <t>Responsable en management et direction des ressources humaines</t>
  </si>
  <si>
    <t>Institut de gestion sociale (IGS) - Lyon, Institut de gestion sociale (IGS) - Pa</t>
  </si>
  <si>
    <t>Titre d'ingénieur diplômé par l'Etat spécialité électrotechnique</t>
  </si>
  <si>
    <t>Conservatoire national des arts et métiers (CNAM), École nationale supérieure d'</t>
  </si>
  <si>
    <t>Titre d'ingénieur diplômé par l'Etat spécialité génie industriel</t>
  </si>
  <si>
    <t>Conservatoire national des arts et métiers (CNAM), Ecole nationale supérieure d'</t>
  </si>
  <si>
    <t>Titre d'ingénieur diplômé par l'Etat spécialité matériaux</t>
  </si>
  <si>
    <t>Niveau II</t>
  </si>
  <si>
    <t>Acheteur France et international</t>
  </si>
  <si>
    <t>CTI (Centre de techniques internationales)</t>
  </si>
  <si>
    <t>Acheteur(euse) technique international(e)</t>
  </si>
  <si>
    <t>GRETA Paris industrie et développement durable</t>
  </si>
  <si>
    <t>Administrateur systèmes et réseaux (dernière session 2016)</t>
  </si>
  <si>
    <t>Institut européen de formation en ingénierie informatique</t>
  </si>
  <si>
    <t>Cadre-dirigeant de TPE/PME</t>
  </si>
  <si>
    <t>BGE Sud-Ouest</t>
  </si>
  <si>
    <t>Certificat d'aptitude aux fonctions d'encadrement et de responsable d'unité d'intervention sociale</t>
  </si>
  <si>
    <t>Chargé d'affaires Europe-Asie</t>
  </si>
  <si>
    <t>Ecole Management Bretagne Atlantique (EMBA)</t>
  </si>
  <si>
    <t>Chargé d'affaires financières et commerciales</t>
  </si>
  <si>
    <t>École supérieure de commerce de Compiègne (ESC Compiègne)</t>
  </si>
  <si>
    <t>Chargé de clientèle - assurance et banque</t>
  </si>
  <si>
    <t>Chargé de communication</t>
  </si>
  <si>
    <t>Chargé de développement commercial et marketing</t>
  </si>
  <si>
    <t>Enseignement-formation-insertion-promotion, Institut national supérieur de comme</t>
  </si>
  <si>
    <t>Chargé de développement commercial franco-allemand</t>
  </si>
  <si>
    <t>Chambre Franco-Allemande de Commerce et d'Industrie</t>
  </si>
  <si>
    <t>Chargé de gestion en ressources humaines</t>
  </si>
  <si>
    <t>Groupe Sciences U - Lyon</t>
  </si>
  <si>
    <t>Chargé de la distribution et de la négociation</t>
  </si>
  <si>
    <t>Institut supérieur interprofessionnel de formation en alternance</t>
  </si>
  <si>
    <t>Chargé de projets commerciaux et marketing à l'international</t>
  </si>
  <si>
    <t>Chargé des ressources humaines (dernière session 2015)</t>
  </si>
  <si>
    <t>Chargé des ressources humaines (dernière session 2016)</t>
  </si>
  <si>
    <t>Chargé du marketing et de communication</t>
  </si>
  <si>
    <t>Chargé(e) de la communication</t>
  </si>
  <si>
    <t>Ecole supérieure des techniques appliquées à la communication (ESTACOM)</t>
  </si>
  <si>
    <t>Chargé(e) de la gestion des ressources humaines</t>
  </si>
  <si>
    <t>Chargé(e) de projets évènementiels</t>
  </si>
  <si>
    <t>Institut de promotion et de formation</t>
  </si>
  <si>
    <t>Chargé(e) des ressources humaines</t>
  </si>
  <si>
    <t>Chef de projet en communication et publicité</t>
  </si>
  <si>
    <t>Chef de projet en informatique (dernière session 2016)</t>
  </si>
  <si>
    <t>Chef de projet en informatique (dernière session 2017)</t>
  </si>
  <si>
    <t>École des transmissions</t>
  </si>
  <si>
    <t>Chef de projet en ingénierie de l'éco-conception</t>
  </si>
  <si>
    <t>Baxa</t>
  </si>
  <si>
    <t>Chef de projet en ingénierie de réseaux et télécommunications</t>
  </si>
  <si>
    <t>Université Pierre et Marie Curie</t>
  </si>
  <si>
    <t>Chef de projet en marketing internet et conception de site</t>
  </si>
  <si>
    <t>Groupe Formation Interconsulaire de la Manche (GROUPE FIM)</t>
  </si>
  <si>
    <t>Chef de projet en matériaux composites</t>
  </si>
  <si>
    <t>Pôle européen plasturgie - Centre technique de la plasturgie et des composites</t>
  </si>
  <si>
    <t>Chef de projet en organisation et management de l'événement</t>
  </si>
  <si>
    <t>Institution ROBIN</t>
  </si>
  <si>
    <t>Chef de projet en système d'information</t>
  </si>
  <si>
    <t>École supérieure d'informatique de la Méditerranée</t>
  </si>
  <si>
    <t>Chef de projet événementiel</t>
  </si>
  <si>
    <t>Chef de projet logiciel et réseaux (dernière session 2016)</t>
  </si>
  <si>
    <t>Chef de projet multimédia - IESA</t>
  </si>
  <si>
    <t>Institut d'études supérieures des arts (IESA)</t>
  </si>
  <si>
    <t>Chef de projet multimédia - IIM</t>
  </si>
  <si>
    <t>Chef de projet web</t>
  </si>
  <si>
    <t>Chef d'entreprise développeur de PME</t>
  </si>
  <si>
    <t>Chambres de commerce et d'industrie (CCI)</t>
  </si>
  <si>
    <t>Chef(fe) de projets en communication</t>
  </si>
  <si>
    <t>Chef(fe) de projets marketing et commercial</t>
  </si>
  <si>
    <t>Chef(fe) de projets marketing et communication</t>
  </si>
  <si>
    <t>Community manager</t>
  </si>
  <si>
    <t>Institut de formation commerciale permanente (IFOCOP)</t>
  </si>
  <si>
    <t>Concepteur 3D</t>
  </si>
  <si>
    <t>Ecole supérieure des métiers artistiques - ESMA</t>
  </si>
  <si>
    <t>Concepteur 3D - VFX</t>
  </si>
  <si>
    <t>ARIES PACA, ARIES Rhône-Alpes, ARIES Toulouse</t>
  </si>
  <si>
    <t>Concepteur designer graphique</t>
  </si>
  <si>
    <t>Axe sud</t>
  </si>
  <si>
    <t>Concepteur développeur des systèmes d'information</t>
  </si>
  <si>
    <t>CCI France - Réseau ESI</t>
  </si>
  <si>
    <t>Concepteur en architecture informatique</t>
  </si>
  <si>
    <t>Concepteur en communication visuelle (dernière session 2015)</t>
  </si>
  <si>
    <t>Institut de développement et d'enseignement méditerranéen (IDEM)</t>
  </si>
  <si>
    <t>Concepteur en communication visuelle (dernière session 2017)</t>
  </si>
  <si>
    <t>SKEMA Business School - Lille</t>
  </si>
  <si>
    <t>Concepteur et créateur de jardin dans le paysage</t>
  </si>
  <si>
    <t>Ecole nationale supérieure de paysage de Versailles</t>
  </si>
  <si>
    <t>Concepteur réalisateur multimédia</t>
  </si>
  <si>
    <t>Concepteur réalisateur web (dernière session 2015)</t>
  </si>
  <si>
    <t>EFFICOM - Montrouge, Groupe Sciences U - Efficom Lille</t>
  </si>
  <si>
    <t>Concepteur rédacteur</t>
  </si>
  <si>
    <t>Concepteur web</t>
  </si>
  <si>
    <t>Concepteur webdesigner</t>
  </si>
  <si>
    <t>SUPCREA Grenoble - Ecole supérieure de la création graphique</t>
  </si>
  <si>
    <t>Concepteur(trice) designer en communication graphique écoresponsable</t>
  </si>
  <si>
    <t>Concepteur-designer graphique</t>
  </si>
  <si>
    <t>Institut de développement des arts appliqués (IDAA) - Institut supérieur des art</t>
  </si>
  <si>
    <t>Concepteur-réalisateur 3D</t>
  </si>
  <si>
    <t>École supérieure d'infographie Pôle 3D</t>
  </si>
  <si>
    <t>Concepteur-réalisateur en communication</t>
  </si>
  <si>
    <t>Marcorel</t>
  </si>
  <si>
    <t>Conseiller bancaire clientèle de professionnels</t>
  </si>
  <si>
    <t>Centre de formation de la profession bancaire (CFPB)</t>
  </si>
  <si>
    <t>Conseiller en gestion de patrimoine et assurances</t>
  </si>
  <si>
    <t>Institut de formation de la profession de l'assurance (IFPASS)</t>
  </si>
  <si>
    <t>Conseiller en VAE</t>
  </si>
  <si>
    <t>Institut supérieur de ressources informatiques (IRIS)</t>
  </si>
  <si>
    <t>Conseiller technique du commerce et des services</t>
  </si>
  <si>
    <t>Centre d'études et de formation des assistants techniques du commerce, des servi</t>
  </si>
  <si>
    <t>Consultant en communication visuelle et image de marque</t>
  </si>
  <si>
    <t>International success institut (ISI)</t>
  </si>
  <si>
    <t>Contrôleur de gestion</t>
  </si>
  <si>
    <t>Créateur de supports de communication visuelle</t>
  </si>
  <si>
    <t>Académie Charpentier</t>
  </si>
  <si>
    <t>Designer en communication visuelle</t>
  </si>
  <si>
    <t>AGR l'école de l'image</t>
  </si>
  <si>
    <t>Designer graphique (dernière session 2014)</t>
  </si>
  <si>
    <t>ESAM Design</t>
  </si>
  <si>
    <t>Designer graphique (dernière session 2016)</t>
  </si>
  <si>
    <t>Designer graphique (dernière session 2017)</t>
  </si>
  <si>
    <t>Groupe Sciences U  - Esupcom Paris, Groupe Sciences U - Efficom Lille</t>
  </si>
  <si>
    <t>Designer graphique et multimédia</t>
  </si>
  <si>
    <t>Ecole Brassart, Sépia arts graphiques</t>
  </si>
  <si>
    <t>Designer numérique</t>
  </si>
  <si>
    <t>VIDENUM - Institut de création et d'animation numériques (ICAN)</t>
  </si>
  <si>
    <t>DESJEPS spécialité animation socio-éducative ou culturelle mention direction de structure et de projet</t>
  </si>
  <si>
    <t>Ministère des sports, de la jeunesse, de l'éducation populaire et de la vie asso</t>
  </si>
  <si>
    <t>DESJEPS spécialité performance sportive mention golf</t>
  </si>
  <si>
    <t>Développeur en génie logiciel web et mobilité</t>
  </si>
  <si>
    <t>IT Paris Eiffel - Ecole centrale des techniques de l'environnement industriel (E</t>
  </si>
  <si>
    <t>Développeur intégrateur web</t>
  </si>
  <si>
    <t>Développeur multimédia</t>
  </si>
  <si>
    <t>L'École Multimédia / vocation graphique</t>
  </si>
  <si>
    <t>Diplôme de cadre de santé</t>
  </si>
  <si>
    <t>Diplôme de comptabilité et de gestion</t>
  </si>
  <si>
    <t>Diplôme de l'école de commerce et de gestion d'Orléans</t>
  </si>
  <si>
    <t>École de gestion et de commerce d'Orléans</t>
  </si>
  <si>
    <t>Diplôme de l'Ecole supérieure des métiers de la vente et de la gestion SUP'TG Reims</t>
  </si>
  <si>
    <t>École supérieure des métiers de la vente et de la gestion (SUP'TG) - Reims</t>
  </si>
  <si>
    <t>Diplôme de l'IECG</t>
  </si>
  <si>
    <t>Institut européen de commerce et de gestion - Groupe Sup de Co La Rochelle</t>
  </si>
  <si>
    <t>Diplôme de l'institut supérieur d'administration et de management</t>
  </si>
  <si>
    <t>Groupe Sup de Co Amiens Picardie - Institut supérieur d'administration et de man</t>
  </si>
  <si>
    <t>Diplôme de l'Institut supérieur de préparation professionnelle de Rouen</t>
  </si>
  <si>
    <t>Institut supérieur de préparation professionnelle - Rouen Business School</t>
  </si>
  <si>
    <t>Diplôme d'école de commerce (bac + 3) (EAC)</t>
  </si>
  <si>
    <t>Ecole Atlantique de commerce et de gestion - groupe Audencia</t>
  </si>
  <si>
    <t>Diplôme d'enseignement supérieur en management international</t>
  </si>
  <si>
    <t>Diplôme d'Etat de manipulateur d'électroradiologie médicale</t>
  </si>
  <si>
    <t>Diplôme d'État de médiateur familial</t>
  </si>
  <si>
    <t>Diplôme d'Etat de puéricultrice</t>
  </si>
  <si>
    <t>Direction générale de la santé</t>
  </si>
  <si>
    <t>Diplôme d'Etat d'ergothérapeute</t>
  </si>
  <si>
    <t>Diplôme d'Etat d'infirmier de bloc opératoire</t>
  </si>
  <si>
    <t>Diplôme d'État d'infirmier(ière)</t>
  </si>
  <si>
    <t>Diplôme d'études supérieures en commerce et management opérationnel</t>
  </si>
  <si>
    <t>Diplôme ESC Toulouse - programme Bac+3 en management</t>
  </si>
  <si>
    <t>Diplôme management relation clients</t>
  </si>
  <si>
    <t>Diplôme national supérieur professionnel de comédien</t>
  </si>
  <si>
    <t>Conservatoire national supérieur d'art dramatique, Ecole de la Comédie de Saint-</t>
  </si>
  <si>
    <t>Diplôme national supérieur professionnel de danseur</t>
  </si>
  <si>
    <t>Centre national de danse contemporaine d'Angers, Conservatoire national supérieu</t>
  </si>
  <si>
    <t>Diplôme national supérieur professionnel de musicien spécialité chef d'ensembles instrumentaux ou vocaux</t>
  </si>
  <si>
    <t>Conservatoire national supérieur de musique et de danse de Lyon (CNSMD LYON), Co</t>
  </si>
  <si>
    <t>Diplôme national supérieur professionnel de musicien spécialité instrumentiste - chanteur</t>
  </si>
  <si>
    <t>Association de préfiguration du pôle supérieur d'enseignements artistiques en No</t>
  </si>
  <si>
    <t>Diplôme national supérieur professionnel de musicien spécialité métiers de la création musicale</t>
  </si>
  <si>
    <t>Dirigeant(e) adjoint(e) de PME-PMI</t>
  </si>
  <si>
    <t>Université Paris Ouest Nanterre La Défense</t>
  </si>
  <si>
    <t>Expert(e) en ingénierie financière</t>
  </si>
  <si>
    <t>Gestionnaire des ressources humaines (dernière session 2015)</t>
  </si>
  <si>
    <t>La compagnie de formation - Pigier</t>
  </si>
  <si>
    <t>Gestionnaire immobilier</t>
  </si>
  <si>
    <t>Graphiste concepteur</t>
  </si>
  <si>
    <t>Agence de formations en informatique et publicité (AFIP)</t>
  </si>
  <si>
    <t>Graphiste plurimédia information et communication</t>
  </si>
  <si>
    <t>Ecole des métiers de l'information (CFD)</t>
  </si>
  <si>
    <t>Intendant de terrain de golf</t>
  </si>
  <si>
    <t>Fédération française de golf</t>
  </si>
  <si>
    <t>Journaliste (dernière session 2016)</t>
  </si>
  <si>
    <t>Institut supérieur de la communication, de la presse et de l'audiovisuel (ISCPA)</t>
  </si>
  <si>
    <t>Journaliste (dernière session 2018)</t>
  </si>
  <si>
    <t>Centre de formation et de perfectionnement des journalistes</t>
  </si>
  <si>
    <t>Journaliste audiovisuel</t>
  </si>
  <si>
    <t>3IS sup</t>
  </si>
  <si>
    <t>Journaliste multimédia</t>
  </si>
  <si>
    <t>Journaliste option presse écrite et internet</t>
  </si>
  <si>
    <t>École du journalisme</t>
  </si>
  <si>
    <t>Journaliste option sport</t>
  </si>
  <si>
    <t>Journaliste plurimédia (dernière session 2018)</t>
  </si>
  <si>
    <t>École française de journalisme (EFJ)</t>
  </si>
  <si>
    <t>Journaliste presse écrite - multimédia</t>
  </si>
  <si>
    <t>Ecole supérieure de journalisme PRO</t>
  </si>
  <si>
    <t>Juriste linguiste</t>
  </si>
  <si>
    <t>Institut de management et de communication interculturels (ISIT)</t>
  </si>
  <si>
    <t>Licence droit, économie, gestion mention droit et ressources humaines</t>
  </si>
  <si>
    <t>Licence pro activités culturelles et artistiques spécialité intervenant danseur</t>
  </si>
  <si>
    <t>Licence pro activités et techniques de communication spécialité commerce en ligne et gestion des organisations</t>
  </si>
  <si>
    <t>Licence pro activités et techniques de communication spécialité communication des entreprises, des associations et des collectivités</t>
  </si>
  <si>
    <t>Licence pro activités et techniques de communication spécialité communication multimédia</t>
  </si>
  <si>
    <t>Licence pro activités et techniques de communication spécialité communications numériques et e-activités</t>
  </si>
  <si>
    <t>Licence pro activités et techniques de communication spécialité concepteur et intégrateur web et multimédia</t>
  </si>
  <si>
    <t>Licence pro activités et techniques de communication spécialité conception et intégration de services et produits multimédia</t>
  </si>
  <si>
    <t>Licence pro activités et techniques de communication spécialité créations multimédia pour le web</t>
  </si>
  <si>
    <t>Licence pro activités et techniques de communication spécialité développeur web de systèmes d'information et multimédia</t>
  </si>
  <si>
    <t>Licence pro activités et techniques de communication spécialité développeur web des systèmes d'information et multimédia</t>
  </si>
  <si>
    <t>Licence pro activités et techniques de communication spécialité écritures en ligne - webmestre éditorial</t>
  </si>
  <si>
    <t>Licence pro activités et techniques de communication spécialité information design et rédaction technique</t>
  </si>
  <si>
    <t>Licence pro activités et techniques de communication spécialité journalisme</t>
  </si>
  <si>
    <t>Licence pro activités et techniques de communication spécialité lettres, culture et nouveaux médias</t>
  </si>
  <si>
    <t>Université La Rochelle</t>
  </si>
  <si>
    <t>Licence pro activités et techniques de communication spécialité métiers de la publicité</t>
  </si>
  <si>
    <t>Licence pro activités et techniques de communication spécialité multimédia, Internet, webmaster</t>
  </si>
  <si>
    <t>Licence pro activités et techniques de communication spécialité référenceur et rédacteur web</t>
  </si>
  <si>
    <t>Université de Haute-Alsace</t>
  </si>
  <si>
    <t>Licence pro activités et techniques de communication spécialité service en ligne - conception et réalisation de services multimédia en ligne</t>
  </si>
  <si>
    <t>Licence pro activités et techniques de communication spécialité technologies de l'information et de la communication pour l'animation de réseaux et de communautés</t>
  </si>
  <si>
    <t>Licence pro activités et techniques de communication spécialité webdesigner</t>
  </si>
  <si>
    <t>Licence pro activités et techniques de communication spécialité webmestre</t>
  </si>
  <si>
    <t>Licence pro activités sportives spécialité développement social et médiation par le sport</t>
  </si>
  <si>
    <t>Licence pro aménagement du paysage spécialité aménagement paysager (conception, gestion, entretien)</t>
  </si>
  <si>
    <t>Licence pro aménagement du paysage spécialité aménagements paysagers</t>
  </si>
  <si>
    <t>Licence pro aménagement du paysage spécialité conduite de chantiers en aménagement paysager</t>
  </si>
  <si>
    <t>Université Charles-de-Gaulle Lille 3</t>
  </si>
  <si>
    <t>Licence pro aménagement du paysage spécialité coordonnateur de projet : patrimoine naturel et paysages littoraux</t>
  </si>
  <si>
    <t>Licence pro aménagement du paysage spécialité gestion des aménagements paysagers</t>
  </si>
  <si>
    <t>Université Joseph Fourier</t>
  </si>
  <si>
    <t>Licence pro aménagement du paysage spécialité gestion du patrimoine paysager végétal en milieu urbanisé</t>
  </si>
  <si>
    <t>Licence pro aménagement du paysage spécialité gestion durable des espaces urbains et ruraux</t>
  </si>
  <si>
    <t>Licence pro aménagement du paysage spécialité gestion environnementale du paysage végétal urbain</t>
  </si>
  <si>
    <t>Université Paris-Sud 11</t>
  </si>
  <si>
    <t>Licence pro aménagement du paysage spécialité gestion et conduite de projets paysagers et environnementaux</t>
  </si>
  <si>
    <t>Licence pro aménagement du paysage spécialité infographie et gestion paysagère</t>
  </si>
  <si>
    <t>Licence pro aménagement du paysage spécialité infographie paysagère</t>
  </si>
  <si>
    <t>Licence pro aménagement du territoire et urbanisme spécialité aménagement territorial durable et géomatique</t>
  </si>
  <si>
    <t>Licence pro aménagement du territoire et urbanisme spécialité conduite de projets territoriaux durables</t>
  </si>
  <si>
    <t>Licence pro aménagement du territoire et urbanisme spécialité génie géomatique pour l'aménagement du territoire</t>
  </si>
  <si>
    <t>Licence pro aménagement du territoire et urbanisme spécialité gestion et aménagement durable des espaces et des ressources</t>
  </si>
  <si>
    <t>Licence pro aménagement du territoire et urbanisme spécialité métiers de la prospection en géosciences</t>
  </si>
  <si>
    <t>Licence pro aménagement du territoire et urbanisme spécialité urbanisme, environnement et géomatique</t>
  </si>
  <si>
    <t>Licence pro assurance, banque, finance : chargé de clientèle</t>
  </si>
  <si>
    <t>Licence pro assurance, banque, finance spécialité assurance et gestion de patrimoine</t>
  </si>
  <si>
    <t>Licence pro assurance, banque, finance spécialité assurance, gestion des sinistres</t>
  </si>
  <si>
    <t>Licence pro assurance, banque, finance spécialité assurances</t>
  </si>
  <si>
    <t>Licence pro assurance, banque, finance spécialité banque</t>
  </si>
  <si>
    <t>Licence pro assurance, banque, finance spécialité banque, assurance</t>
  </si>
  <si>
    <t>Licence pro assurance, banque, finance spécialité banque, assurance, finance (échanges et gestion)</t>
  </si>
  <si>
    <t>Licence pro assurance, banque, finance spécialité chargé clientèle particuliers</t>
  </si>
  <si>
    <t>Licence pro assurance, banque, finance spécialité chargé de clientèle</t>
  </si>
  <si>
    <t>Licence pro assurance, banque, finance spécialité chargé de clientèle bancassurance - marché des particuliers</t>
  </si>
  <si>
    <t>Licence pro assurance, banque, finance spécialité chargé de clientèle en assurance</t>
  </si>
  <si>
    <t>Université de Nîmes</t>
  </si>
  <si>
    <t>Licence pro assurance, banque, finance spécialité chargé de clientèle particuliers</t>
  </si>
  <si>
    <t>Licence pro assurance, banque, finance spécialité commercialisation des produits bancaires et d'assurances - marché des particuliers</t>
  </si>
  <si>
    <t>Licence pro assurance, banque, finance spécialité commercialisation des produits et services de banque et d'assurance</t>
  </si>
  <si>
    <t>Licence pro assurance, banque, finance spécialité conseiller commercial assurance</t>
  </si>
  <si>
    <t>Licence pro assurance, banque, finance spécialité conseiller gestionnaire de clientèle</t>
  </si>
  <si>
    <t>Licence pro assurance, banque, finance spécialité conseiller gestionnaire de clientèle - marché des particuliers</t>
  </si>
  <si>
    <t>Licence pro assurance, banque, finance spécialité conseiller gestionnaire de clientèle sur le marché des particuliers</t>
  </si>
  <si>
    <t>Licence pro assurance, banque, finance spécialité conseiller, souscripteur, gestionnaire en assurance</t>
  </si>
  <si>
    <t>Licence pro assurance, banque, finance spécialité conseiller-gestionnaire de clientèle</t>
  </si>
  <si>
    <t>Licence pro assurance, banque, finance spécialité conseils en assurances et services financiers</t>
  </si>
  <si>
    <t>Licence pro assurance, banque, finance spécialité gestion de clientèle particuliers</t>
  </si>
  <si>
    <t>Licence pro assurance, banque, finance spécialité gestion de la clientèle des particuliers</t>
  </si>
  <si>
    <t>Université Paris Descartes</t>
  </si>
  <si>
    <t>Licence pro assurance, banque, finance spécialité gestion du patrimoine immobilier</t>
  </si>
  <si>
    <t>Licence pro assurance, banque, finance spécialité gestion juridique des contrats d'assurance</t>
  </si>
  <si>
    <t>Université Panthéon Assas</t>
  </si>
  <si>
    <t>Licence pro assurance, banque, finance spécialité marché des particuliers</t>
  </si>
  <si>
    <t>Licence pro assurance, banque, finance spécialité métiers de l'(e-)assurance et des services associés</t>
  </si>
  <si>
    <t>Licence pro assurance, banque, finance spécialité métiers de la retraite et de la prévoyance</t>
  </si>
  <si>
    <t>Licence pro assurance, banque, finance spécialité métiers de l'assurance et de l'assistance</t>
  </si>
  <si>
    <t>Licence pro assurance, banque, finance spécialité vente d'assurances de personnes</t>
  </si>
  <si>
    <t>Licence pro automatique et informatique industrielle spécialité aéronautique</t>
  </si>
  <si>
    <t>Licence pro automatique et informatique industrielle spécialité automation et robotique</t>
  </si>
  <si>
    <t>Licence pro automatique et informatique industrielle spécialité automatique et robotique industrielles pour l'assemblage</t>
  </si>
  <si>
    <t>Licence pro automatique et informatique industrielle spécialité automatisme supervision traçabilité réseaux</t>
  </si>
  <si>
    <t>Licence pro automatique et informatique industrielle spécialité automatismes industriels</t>
  </si>
  <si>
    <t>Licence pro automatique et informatique industrielle spécialité automatismes, réseaux et télémaintenance</t>
  </si>
  <si>
    <t>Licence pro automatique et informatique industrielle spécialité chef de projet en automatismes industriels</t>
  </si>
  <si>
    <t>Licence pro automatique et informatique industrielle spécialité gestion rationnelle de l'énergie électrique</t>
  </si>
  <si>
    <t>Licence pro automatique et informatique industrielle spécialité instrumentation et réseaux</t>
  </si>
  <si>
    <t>Licence pro automatique et informatique industrielle spécialité maintenance des systèmes automatisés</t>
  </si>
  <si>
    <t>Licence pro automatique et informatique industrielle spécialité mécatronique</t>
  </si>
  <si>
    <t>Licence pro automatique et informatique industrielle spécialité microcircuits, cartes et applications</t>
  </si>
  <si>
    <t>Licence pro automatique et informatique industrielle spécialité réseaux et instrumentation intelligente pour les systèmes automatisés</t>
  </si>
  <si>
    <t>Université Jean Monnet</t>
  </si>
  <si>
    <t>Licence pro automatique et informatique industrielle spécialité robotique</t>
  </si>
  <si>
    <t>Licence pro automatique et informatique industrielle spécialité supervision des automatismes et des réseaux</t>
  </si>
  <si>
    <t>Licence pro automatique et informatique industrielle spécialité supervision et traçabilité</t>
  </si>
  <si>
    <t>Licence pro automatique et informatique industrielle spécialité systèmes automatisés et réseaux industriels</t>
  </si>
  <si>
    <t>Licence pro automatique et informatique industrielle spécialité systèmes électroniques et informatiques communicants (seicom)</t>
  </si>
  <si>
    <t>Licence pro automatique et informatique industrielle spécialité systèmes embarqués</t>
  </si>
  <si>
    <t>Licence pro automatique et informatique industrielle spécialité systèmes industriels - systèmes automatisés et réseaux industriels</t>
  </si>
  <si>
    <t>Licence pro bâtiment et construction spécialité bâtiment performant et énergies (thermique, électrique, grise)</t>
  </si>
  <si>
    <t>Licence pro bâtiment et construction spécialité bureau d'études et conception technique</t>
  </si>
  <si>
    <t>Licence pro bâtiment et construction spécialité chargé d'affaires en bâtiment</t>
  </si>
  <si>
    <t>Licence pro bâtiment et construction spécialité chargé d'affaires en contrôle des bâtiments</t>
  </si>
  <si>
    <t>Licence pro bâtiment et construction spécialité chef de chantier</t>
  </si>
  <si>
    <t>Licence pro bâtiment et construction spécialité choix constructifs à qualité environnementale</t>
  </si>
  <si>
    <t>Licence pro bâtiment et construction spécialité conducteur de travaux en maisons individuelles</t>
  </si>
  <si>
    <t>Licence pro bâtiment et construction spécialité conduite de travaux</t>
  </si>
  <si>
    <t>Licence pro bâtiment et construction spécialité conduite de travaux en bâtiment</t>
  </si>
  <si>
    <t>Licence pro bâtiment et construction spécialité conduite de travaux en construction bois</t>
  </si>
  <si>
    <t>Licence pro bâtiment et construction spécialité conduite et gestion de projets BTP</t>
  </si>
  <si>
    <t>Université Le Havre</t>
  </si>
  <si>
    <t>Licence pro bâtiment et construction spécialité construire écologique</t>
  </si>
  <si>
    <t>Licence pro bâtiment et construction spécialité droit et techniques du montage d'opérations de construction</t>
  </si>
  <si>
    <t>Licence pro bâtiment et construction spécialité économie de la construction</t>
  </si>
  <si>
    <t>Licence pro bâtiment et construction spécialité économie de la construction en contexte européen</t>
  </si>
  <si>
    <t>Licence pro bâtiment et construction spécialité économiste de la construction</t>
  </si>
  <si>
    <t>Licence pro bâtiment et construction spécialité encadrement de chantier et construction durable</t>
  </si>
  <si>
    <t>Licence pro bâtiment et construction spécialité expert en diagnostics techniques  de l'immobilier et pathologies du bâtiment</t>
  </si>
  <si>
    <t>Licence pro bâtiment et construction spécialité expert énergétique de la construction</t>
  </si>
  <si>
    <t>Licence pro bâtiment et construction spécialité génie climatique à qualité environnementale</t>
  </si>
  <si>
    <t>Licence pro bâtiment et construction spécialité génie climatique et équipements du bâtiment</t>
  </si>
  <si>
    <t>Licence pro bâtiment et construction spécialité gestion de travaux, encadrement de chantier et construction durable</t>
  </si>
  <si>
    <t>Licence pro bâtiment et construction spécialité gestion technique du patrimoine immobilier</t>
  </si>
  <si>
    <t>Licence pro bâtiment et construction spécialité gestionnaire et responsable technique des sites immobiliers</t>
  </si>
  <si>
    <t>Licence pro bâtiment et construction spécialité maintenance et réhabilitation</t>
  </si>
  <si>
    <t>Licence pro bâtiment et construction spécialité management environnemental et qualité globale des constructions</t>
  </si>
  <si>
    <t>Licence pro bâtiment et construction spécialité management et gestion des bâtis (facilities management)</t>
  </si>
  <si>
    <t>Licence pro bâtiment et construction spécialité management, reprise et création de PME du BTP</t>
  </si>
  <si>
    <t>Licence pro bâtiment et construction spécialité performance énergétique des bâtiments</t>
  </si>
  <si>
    <t>Licence pro bâtiment et construction spécialité performances énergétiques des bâtiments</t>
  </si>
  <si>
    <t>Licence pro bâtiment et construction spécialité projets et chantiers durables</t>
  </si>
  <si>
    <t>Licence pro bâtiment et construction spécialité réhabilitation des bâtiments</t>
  </si>
  <si>
    <t>Licence pro biotechnologies spécialité procédés de traitement et de valorisation des rejets</t>
  </si>
  <si>
    <t>Licence pro commerce spécialité acheteur</t>
  </si>
  <si>
    <t>Licence pro commerce spécialité commerce de matériel de travaux publics et véhicules industriels</t>
  </si>
  <si>
    <t>Licence pro commerce spécialité commerce et distribution</t>
  </si>
  <si>
    <t>Licence pro commerce spécialité commercialisation des produits et services financiers</t>
  </si>
  <si>
    <t>Licence pro commerce spécialité distribution</t>
  </si>
  <si>
    <t>Licence pro commerce spécialité distribution - management et gestion de rayons (DISTRISUP)</t>
  </si>
  <si>
    <t>Licence pro commerce spécialité distribution - management et gestion rayon</t>
  </si>
  <si>
    <t>Licence pro commerce spécialité distribution : management de rayon  (distrisup management)</t>
  </si>
  <si>
    <t>Licence pro commerce spécialité distribution : management et gestion de rayon</t>
  </si>
  <si>
    <t>Licence pro commerce spécialité distribution : management et gestion de rayon,(distrisup management) grandes surfaces</t>
  </si>
  <si>
    <t>Licence pro commerce spécialité distribution mention management de rayon (DISTRISUP)</t>
  </si>
  <si>
    <t>Licence pro commerce spécialité distribution, management et gestion de rayon</t>
  </si>
  <si>
    <t>Licence pro commerce spécialité distribution, mention management et gestion de rayon</t>
  </si>
  <si>
    <t>Licence pro commerce spécialité management du point de vente</t>
  </si>
  <si>
    <t>Licence pro commerce spécialité management et gestion de rayon - distrisup</t>
  </si>
  <si>
    <t>Licence pro commerce spécialité marketing des produits financiers et d'assurance</t>
  </si>
  <si>
    <t>Licence pro commerce spécialité marketing direct et vente à distance multicanaux</t>
  </si>
  <si>
    <t>Licence pro commerce spécialité marketing et commerce sur Internet : les métiers du e-business</t>
  </si>
  <si>
    <t>Licence pro commerce spécialité marketing et marketing international</t>
  </si>
  <si>
    <t>Licence pro échange et gestion spécialité commerce et distribution</t>
  </si>
  <si>
    <t>Licence pro e-commerce et marketing numérique</t>
  </si>
  <si>
    <t>Licence pro électricité et électronique spécialité concepteur en systèmes numériques programmables embarqués</t>
  </si>
  <si>
    <t>Licence pro électricité et électronique spécialité conception et commande de systèmes électriques embarqués</t>
  </si>
  <si>
    <t>Licence pro électricité et électronique spécialité conception et management en éclairage</t>
  </si>
  <si>
    <t>Licence pro électricité et électronique spécialité coordinateur technique en intégration des énergies renouvelables électriques</t>
  </si>
  <si>
    <t>Licence pro électricité et électronique spécialité coordinateur technique pour les installations électriques</t>
  </si>
  <si>
    <t>Licence pro électricité et électronique spécialité développement de produits / équipements mécatroniques</t>
  </si>
  <si>
    <t>Licence pro électricité et électronique spécialité distribution électrique et automatismes</t>
  </si>
  <si>
    <t>Licence pro électricité et électronique spécialité domotique : la technologie au service du confort et de la sécurité des personnes</t>
  </si>
  <si>
    <t>Licence pro électricité et électronique spécialité domotique et immotique</t>
  </si>
  <si>
    <t>Licence pro électricité et électronique spécialité électroacoustique et acoustique environnementale</t>
  </si>
  <si>
    <t>Licence pro électricité et électronique spécialité électronique et informatique des systèmes industriels</t>
  </si>
  <si>
    <t>Licence pro électricité et électronique spécialité électronique et informatique industrielle appliquée aux industries du transport</t>
  </si>
  <si>
    <t>Licence pro électricité et électronique spécialité électronique pour l'aéronautique et spatial</t>
  </si>
  <si>
    <t>Licence pro électricité et électronique spécialité électronique, informatique et communication embarquées appliquées aux transports</t>
  </si>
  <si>
    <t>Licence pro électricité et électronique spécialité électronique, optique et nanotechnologies</t>
  </si>
  <si>
    <t>Licence pro électricité et électronique spécialité électrotechnique et énergies renouvelables</t>
  </si>
  <si>
    <t>Licence pro électricité et électronique spécialité énergies renouvelables appliquées à l'habitation et au bâtiment industriel</t>
  </si>
  <si>
    <t>Licence pro électricité et électronique spécialité génie électrique pour le bâtiment</t>
  </si>
  <si>
    <t>Licence pro électricité et électronique spécialité gestion de l'énergie électrique - éco efficacité énergetique</t>
  </si>
  <si>
    <t>Licence pro électricité et électronique spécialité gestion et utilisation des énergies renouvelables</t>
  </si>
  <si>
    <t>Université Montpellier 2 - sciences et techniques du Languedoc</t>
  </si>
  <si>
    <t>Licence pro électricité et électronique spécialité ingénierie des systèmes de radiocommunication</t>
  </si>
  <si>
    <t>Licence pro électricité et électronique spécialité maintenance industrielle en génie électrique</t>
  </si>
  <si>
    <t>Licence pro électricité et électronique spécialité maîtrise des énergies renouvelables et électriques</t>
  </si>
  <si>
    <t>Licence pro électricité et électronique spécialité mesures hyperfréquences et radiocommunications</t>
  </si>
  <si>
    <t>Licence pro électricité et électronique spécialité métiers de la microélectronique et des microsystèmes</t>
  </si>
  <si>
    <t>Licence pro électricité et électronique spécialité optronique</t>
  </si>
  <si>
    <t>Licence pro électricité et électronique spécialité qualité et maîtrise de l'énergie électrique</t>
  </si>
  <si>
    <t>Licence pro électricité et électronique spécialité systèmes d'électronique marine embarqués</t>
  </si>
  <si>
    <t>Licence pro électricité et électronique spécialité systèmes embarqués dans l'automobile</t>
  </si>
  <si>
    <t>Licence pro électricité et électronique spécialité systèmes embarqués, systèmes mécatroniques et éco-conception</t>
  </si>
  <si>
    <t>Licence pro énergie et génie climatique spécialité chargé d'affaires en génie climatique</t>
  </si>
  <si>
    <t>Licence pro énergie et génie climatique spécialité chargé d'affaires en thermique du bâtiment</t>
  </si>
  <si>
    <t>Licence pro énergie et génie climatique spécialité conception des installations de génie climatique</t>
  </si>
  <si>
    <t>Licence pro énergie et génie climatique spécialité conduite et gestion d'opérations en thermique du bâtiment</t>
  </si>
  <si>
    <t>Licence pro énergie et génie climatique spécialité développement durable</t>
  </si>
  <si>
    <t>Licence pro énergie et génie climatique spécialité développement durable et énergies renouvelables</t>
  </si>
  <si>
    <t>Licence pro énergie et génie climatique spécialité efficacité énergétique des bâtiments et intégration des enr</t>
  </si>
  <si>
    <t>Licence pro énergie et génie climatique spécialité efficacité énergétique et énergies renouvelables (métrologie, diagnostic, contrôle)</t>
  </si>
  <si>
    <t>Licence pro énergie et génie climatique spécialité énergies nouvelles et développement durable</t>
  </si>
  <si>
    <t>Licence pro énergie et génie climatique spécialité énergies renouvelables</t>
  </si>
  <si>
    <t>Licence pro énergie et génie climatique spécialité énergies renouvelables, efficacité énergétique</t>
  </si>
  <si>
    <t>Licence pro énergie et génie climatique spécialité expertise énergétique</t>
  </si>
  <si>
    <t>Licence pro énergie et génie climatique spécialité froid industriel et commercial</t>
  </si>
  <si>
    <t>Licence pro énergie et génie climatique spécialité froid, climatisation et contrôle de service, services énergétiques</t>
  </si>
  <si>
    <t>Licence pro énergie et génie climatique spécialité génie climatique et froid industriel</t>
  </si>
  <si>
    <t>Licence pro énergie et génie climatique spécialité gestion de chantier et sécurité en génie climatique</t>
  </si>
  <si>
    <t>UNIVERSITE DE BORDEAUX I</t>
  </si>
  <si>
    <t>Licence pro énergie et génie climatique spécialité gestion de ressources énergétiques et énergies nouvelles</t>
  </si>
  <si>
    <t>Licence pro énergie et génie climatique spécialité gestion et maintenance des installations énergétiques</t>
  </si>
  <si>
    <t>Licence pro énergie et génie climatique spécialité gestion technique du bâtiment</t>
  </si>
  <si>
    <t>Licence pro énergie et génie climatique spécialité gestionnaire énergies</t>
  </si>
  <si>
    <t>Licence pro énergie et génie climatique spécialité intelligence technique et énergétique du bâtiment</t>
  </si>
  <si>
    <t>Licence pro énergie et génie climatique spécialité maintenance et exploitation des équipements dans les énergies renouvelables</t>
  </si>
  <si>
    <t>Licence pro énergie et génie climatique spécialité maîtrise de l'énergie et confort dans le bâtiment</t>
  </si>
  <si>
    <t>Licence pro énergie et génie climatique spécialité maîtrise de l'énergie et énergies renouvelables</t>
  </si>
  <si>
    <t>Licence pro énergie et génie climatique spécialité performance énergétique et génie climatique</t>
  </si>
  <si>
    <t>Licence pro énergie et génie climatique spécialité responsable de projets en maîtrise de l'énergie et environnement</t>
  </si>
  <si>
    <t>Licence pro énergie et génie climatique spécialité sciences et technologies des énergies renouvelables : systèmes électriques</t>
  </si>
  <si>
    <t>Licence pro énergie et génie climatique spécialité sciences et technologies des énergies renouvelables : systèmes thermiques</t>
  </si>
  <si>
    <t>Licence pro énergie et génie climatique spécialité services énergétiques</t>
  </si>
  <si>
    <t>Licence pro énergie et génie climatique spécialité technologies du froid et énergies renouvelables</t>
  </si>
  <si>
    <t>Licence pro énergie et génie climatique spécialité valorisation des énergies renouvelables et techniques énergétiques</t>
  </si>
  <si>
    <t>Licence pro énergie et génie climatique spécialité valorisation énergétiques des déchets ménagers</t>
  </si>
  <si>
    <t>Licence pro espaces naturels spécialité métiers du diagnostic, de la gestion et de la protection des milieux naturels</t>
  </si>
  <si>
    <t>Licence pro génie civil et construction spécialité bâtiment et construction</t>
  </si>
  <si>
    <t>Licence pro génie civil et construction spécialité bois constructions</t>
  </si>
  <si>
    <t>Licence pro génie civil et construction spécialité conducteur de travaux bâtiments</t>
  </si>
  <si>
    <t>Licence pro génie civil et construction spécialité conducteur de travaux dans le BTP</t>
  </si>
  <si>
    <t>Licence pro génie civil et construction spécialité conduite de travaux en travaux publics</t>
  </si>
  <si>
    <t>Licence pro génie civil et construction spécialité construction et aménagement</t>
  </si>
  <si>
    <t>Licence pro génie civil et construction spécialité contrôle et expertise du bâtiment</t>
  </si>
  <si>
    <t>Licence pro génie civil et construction spécialité énergies et confort</t>
  </si>
  <si>
    <t>Licence pro génie civil et construction spécialité environnement et construction</t>
  </si>
  <si>
    <t>Licence pro génie civil et construction spécialité études et projets</t>
  </si>
  <si>
    <t>Licence pro génie civil et construction spécialité génie civil et construction en zone intertropicale</t>
  </si>
  <si>
    <t>Université Antilles et Guyane</t>
  </si>
  <si>
    <t>Licence pro génie civil et construction spécialité gestion de projet et conduite de travaux</t>
  </si>
  <si>
    <t>Licence pro génie civil et construction spécialité gestion de travaux et encadrement de chantier</t>
  </si>
  <si>
    <t>Licence pro génie civil et construction spécialité management du risque dans le BTP</t>
  </si>
  <si>
    <t>Licence pro génie civil et construction spécialité management et conduite de travaux</t>
  </si>
  <si>
    <t>Licence pro génie civil et construction spécialité projeteur calculateur BTP</t>
  </si>
  <si>
    <t>Licence pro génie civil et construction spécialité projeteur CAO-DAO, multimédia dans le bâtiment et les travaux publics</t>
  </si>
  <si>
    <t>Licence pro gestion de la production industrielle spécialité acquisition de données, qualification d'appareillages en milieu industriel</t>
  </si>
  <si>
    <t>Licence pro gestion de la production industrielle spécialité animateur qualité</t>
  </si>
  <si>
    <t>Licence pro gestion de la production industrielle spécialité animateur qualité sécurité environnement</t>
  </si>
  <si>
    <t>Licence pro gestion de la production industrielle spécialité capteurs, instrumentation et métrologie</t>
  </si>
  <si>
    <t>Licence pro gestion de la production industrielle spécialité chargé de mission maintenance et gestion du risque industriel</t>
  </si>
  <si>
    <t>Licence pro gestion de la production industrielle spécialité contrôle industriel et maintenance des installations</t>
  </si>
  <si>
    <t>Licence pro gestion de la production industrielle spécialité développeur de projets industriels</t>
  </si>
  <si>
    <t>Licence pro gestion de la production industrielle spécialité éco-design</t>
  </si>
  <si>
    <t>Licence pro gestion de la production industrielle spécialité études de signalisation ferroviaire</t>
  </si>
  <si>
    <t>Licence pro gestion de la production industrielle spécialité flux numériques, édition et production d'imprimés</t>
  </si>
  <si>
    <t>Ecole internationale du papier, de la communication imprimée et des biomatériaux</t>
  </si>
  <si>
    <t>Licence pro gestion de la production industrielle spécialité gestion de la qualité</t>
  </si>
  <si>
    <t>Licence pro gestion de la production industrielle spécialité gestion de production intégrée</t>
  </si>
  <si>
    <t>Université de Franche-Comté, Université de Franche-Comté</t>
  </si>
  <si>
    <t>Licence pro gestion de la production industrielle spécialité gestion de projets industriels (navale et nautique ou aéronautique)</t>
  </si>
  <si>
    <t>Licence pro gestion de la production industrielle spécialité gestion de projets innovants</t>
  </si>
  <si>
    <t>Licence pro gestion de la production industrielle spécialité gestion et conception de projets industriels</t>
  </si>
  <si>
    <t>Licence pro gestion de la production industrielle spécialité ingénierie industrielle</t>
  </si>
  <si>
    <t>Licence pro gestion de la production industrielle spécialité innovation et développement industriel</t>
  </si>
  <si>
    <t>Licence pro gestion de la production industrielle spécialité logistique et amélioration industrielle</t>
  </si>
  <si>
    <t>Licence pro gestion de la production industrielle spécialité logistique et performance industrielles</t>
  </si>
  <si>
    <t>Licence pro gestion de la production industrielle spécialité logistique et qualité</t>
  </si>
  <si>
    <t>Licence pro gestion de la production industrielle spécialité maintenance des automatismes et de l'instrumentation industriels</t>
  </si>
  <si>
    <t>Licence pro gestion de la production industrielle spécialité maintenance industrielle "sûreté des process"</t>
  </si>
  <si>
    <t>Licence pro gestion de la production industrielle spécialité maintenance industrielle et matériaux en milieux contraints</t>
  </si>
  <si>
    <t>Licence pro gestion de la production industrielle spécialité management de la logistique dans l'entreprise</t>
  </si>
  <si>
    <t>Licence pro gestion de la production industrielle spécialité management de la logistique, de l'organisation, de la gestion industrielle et de la qualité</t>
  </si>
  <si>
    <t>Licence pro gestion de la production industrielle spécialité management de la mesure et du contrôle industriel</t>
  </si>
  <si>
    <t>Licence pro gestion de la production industrielle spécialité management de la production et de la qualité</t>
  </si>
  <si>
    <t>Licence pro gestion de la production industrielle spécialité management de la production industrielle et gestion des flux</t>
  </si>
  <si>
    <t>Licence pro gestion de la production industrielle spécialité management de production</t>
  </si>
  <si>
    <t>Licence pro gestion de la production industrielle spécialité management des activités supports à la production</t>
  </si>
  <si>
    <t>Licence pro gestion de la production industrielle spécialité management des processus internes</t>
  </si>
  <si>
    <t>Licence pro gestion de la production industrielle spécialité management et ingénierie des risques</t>
  </si>
  <si>
    <t>Licence pro gestion de la production industrielle spécialité management et ingénierie des systèmes multitechniques</t>
  </si>
  <si>
    <t>Licence pro gestion de la production industrielle spécialité management intégré, qualité, sécurité, environnement</t>
  </si>
  <si>
    <t>Licence pro gestion de la production industrielle spécialité management par la qualité totale</t>
  </si>
  <si>
    <t>Licence pro gestion de la production industrielle spécialité mesures et capteurs intelligents</t>
  </si>
  <si>
    <t>Licence pro gestion de la production industrielle spécialité mesures industrielles en ligne ou à distance</t>
  </si>
  <si>
    <t>Licence pro gestion de la production industrielle spécialité métiers de la mesure de l'instrumentation et du contrôle</t>
  </si>
  <si>
    <t>Licence pro gestion de la production industrielle spécialité métrologie</t>
  </si>
  <si>
    <t>Licence pro gestion de la production industrielle spécialité métrologie, qualité et sûreté industrielle</t>
  </si>
  <si>
    <t>Université Paris 7 - Denis Diderot</t>
  </si>
  <si>
    <t>Licence pro gestion de la production industrielle spécialité plasturgie maintenance et éco plasturgie</t>
  </si>
  <si>
    <t>Licence pro gestion de la production industrielle spécialité procédés en contrôle non destructif</t>
  </si>
  <si>
    <t>Licence pro gestion de la production industrielle spécialité production et maintenance industrielles</t>
  </si>
  <si>
    <t>Licence pro gestion de la production industrielle spécialité qualité des produits et des processus</t>
  </si>
  <si>
    <t>Licence pro gestion de la production industrielle spécialité qualité sécurité environnement</t>
  </si>
  <si>
    <t>Licence pro gestion de la production industrielle spécialité techniques et technologies avancées de maintenance</t>
  </si>
  <si>
    <t>Licence pro gestion de la production industrielle spécialité technologies et management en métrologie et qualité</t>
  </si>
  <si>
    <t>Licence pro gestion de la production industrielle spécialité vision industrielle</t>
  </si>
  <si>
    <t>Licence pro gestion des ressources humaines spécialité métiers de la formation, de l'insertion et de l'accompagnement</t>
  </si>
  <si>
    <t>Licence pro gestion des ressources humaines spécialité responsable adjoint gestion des ressources humaines</t>
  </si>
  <si>
    <t>Licence pro hôtellerie et tourisme spécialité management des établissements de loisirs</t>
  </si>
  <si>
    <t>Licence pro industries chimiques et pharmaceutiques spécialité analyse pour les métiers de l'eau</t>
  </si>
  <si>
    <t>Licence pro industries chimiques et pharmaceutiques spécialité analyse, contrôle et expertise dans la chimie et les industries chimiques</t>
  </si>
  <si>
    <t>Licence pro industries chimiques et pharmaceutiques spécialité chimie-analyse et contrôle des matières premières et des produits formulés</t>
  </si>
  <si>
    <t>Licence pro industries chimiques et pharmaceutiques spécialité contrôle - procédés - qualité</t>
  </si>
  <si>
    <t>Licence pro industries chimiques et pharmaceutiques spécialité génie des procédés pharmaceutiques</t>
  </si>
  <si>
    <t>Licence pro industries chimiques et pharmaceutiques spécialité gestion de la qualité et des risques dans les bio-industries</t>
  </si>
  <si>
    <t>Licence pro industries chimiques et pharmaceutiques spécialité gestion de production dans l'industrie pharmaceutique et cosmétique</t>
  </si>
  <si>
    <t>Licence pro industries chimiques et pharmaceutiques spécialité ingénierie des procédés pour la chimie, la pharmacie, l'environnement et pour la valorisation des agroressources</t>
  </si>
  <si>
    <t>Licence pro industries chimiques et pharmaceutiques spécialité procédés de la chimie et développement durable</t>
  </si>
  <si>
    <t>Licence pro intervention sociale spécialité accompagnement et insertion</t>
  </si>
  <si>
    <t>Licence pro intervention sociale spécialité animation professionnelle, coordination et développement de projets pour l'action sociale, culturelle et socioculturelle</t>
  </si>
  <si>
    <t>Licence pro intervention sociale spécialité animation sociale et socioculturelle</t>
  </si>
  <si>
    <t>Licence pro intervention sociale spécialité coordination de projets de développement social et culturel en milieu urbain</t>
  </si>
  <si>
    <t>Université Michel de Montaigne - Bordeaux 3</t>
  </si>
  <si>
    <t>Licence pro intervention sociale spécialité coordination et développement de projets pour les territoires</t>
  </si>
  <si>
    <t>Licence pro intervention sociale spécialité économie sociale</t>
  </si>
  <si>
    <t>Licence pro intervention sociale spécialité emploi formation insertion</t>
  </si>
  <si>
    <t>Université Victor Segalen - Bordeaux 2</t>
  </si>
  <si>
    <t>Licence pro intervention sociale spécialité gestion de la protection sociale</t>
  </si>
  <si>
    <t>Licence pro intervention sociale spécialité métiers de la cohésion sociale</t>
  </si>
  <si>
    <t>Licence pro intervention sociale spécialité métiers de la formation des jeunes et des adultes</t>
  </si>
  <si>
    <t>Licence pro intervention sociale spécialité métiers du développement social urbain</t>
  </si>
  <si>
    <t>Licence pro intervention sociale spécialité pratiques de l'intervention sanitaire et sociale</t>
  </si>
  <si>
    <t>Licence pro intervention sociale spécialité responsable de structures sociales et médico-sociales</t>
  </si>
  <si>
    <t>Licence pro intervention sociale spécialité travail social et conduite de projet : assistance sociale et éducation spécialisée</t>
  </si>
  <si>
    <t>Licence pro logistique spécialité études et projets d'organisation</t>
  </si>
  <si>
    <t>Licence pro logistique spécialité logistique globale</t>
  </si>
  <si>
    <t>Licence pro logistique spécialité management de la chaîne logistique</t>
  </si>
  <si>
    <t>Licence pro logistique spécialité management des services de transport de voyageurs</t>
  </si>
  <si>
    <t>Licence pro logistique spécialité management européen de la chaîne logistique</t>
  </si>
  <si>
    <t>Licence pro logistique spécialité systèmes d'information logistique - supply chain management</t>
  </si>
  <si>
    <t>Licence pro logistique spécialité transport de voyageurs</t>
  </si>
  <si>
    <t>Licence pro logistique spécialité transport de voyageurs urbain-interurbain</t>
  </si>
  <si>
    <t>Licence pro maintenance des systèmes pluritechniques spécialité chef d'opération maintenance en éolien offshore</t>
  </si>
  <si>
    <t>Licence pro maintenance des systèmes pluritechniques spécialité contrôle des installations et ingénierie de maintenance</t>
  </si>
  <si>
    <t>Licence pro maintenance des systèmes pluritechniques spécialité gestion de projet en agroéquipements</t>
  </si>
  <si>
    <t>Licence pro maintenance des systèmes pluritechniques spécialité gestion technique et économique des agroéquipements</t>
  </si>
  <si>
    <t>Licence pro maintenance des systèmes pluritechniques spécialité industrialisation et maintenance des systèmes automatisés</t>
  </si>
  <si>
    <t>Licence pro maintenance des systèmes pluritechniques spécialité ingénierie et maintenance des installations</t>
  </si>
  <si>
    <t>Licence pro maintenance des systèmes pluritechniques spécialité maintenance aéronautique</t>
  </si>
  <si>
    <t>Licence pro maintenance des systèmes pluritechniques spécialité maintenance des agroéquipements</t>
  </si>
  <si>
    <t>Licence pro maintenance des systèmes pluritechniques spécialité maintenance des systèmes industriels</t>
  </si>
  <si>
    <t>Licence pro maintenance des systèmes pluritechniques spécialité maintenance et énergétique</t>
  </si>
  <si>
    <t>Licence pro maintenance des systèmes pluritechniques spécialité maintenance nucléaire</t>
  </si>
  <si>
    <t>Licence pro maintenance des systèmes pluritechniques spécialité management des services de maintenance</t>
  </si>
  <si>
    <t>Licence pro maintenance des systèmes pluritechniques spécialité management, maintenance et exploitation des installations industrielles</t>
  </si>
  <si>
    <t>Licence pro maintenance des systèmes pluritechniques spécialité mesures, instrumentation et métrologie pour l'environnement</t>
  </si>
  <si>
    <t>Licence pro maintenance des systèmes pluritechniques spécialité organisation et management des services de l'automobile</t>
  </si>
  <si>
    <t>Licence pro maintenance des systèmes pluritechniques spécialité techniques avancées de maintenance</t>
  </si>
  <si>
    <t>Licence pro maintenance des systèmes pluritechniques spécialité techniques avancées en maintenance</t>
  </si>
  <si>
    <t>Licence pro management des organisations spécialité administration et gestion des entreprises de l'économie sociale</t>
  </si>
  <si>
    <t>Licence pro management des organisations spécialité assistant contrôleur de gestion PME-PMI</t>
  </si>
  <si>
    <t>Licence pro management des organisations spécialité assistant manager</t>
  </si>
  <si>
    <t>Licence pro management des organisations spécialité gestion des structures de l'économie sociale, gestion des associations</t>
  </si>
  <si>
    <t>Licence pro management des organisations spécialité gestionnaire des entreprises de l'agro-équipement</t>
  </si>
  <si>
    <t>Licence pro management des organisations spécialité intégration de progiciels de gestion dans la PME</t>
  </si>
  <si>
    <t>Licence pro management des organisations spécialité management de la qualité</t>
  </si>
  <si>
    <t>Licence pro management des organisations spécialité management du patrimoine immobilier et mobilier</t>
  </si>
  <si>
    <t>Licence pro management des organisations spécialité management intégré qualité / sécurité / environnement</t>
  </si>
  <si>
    <t>Licence pro management des organisations spécialité management opérationnel des entreprises</t>
  </si>
  <si>
    <t>Licence pro management des organisations spécialité métiers de gestion et d'administration dans l'immobilier</t>
  </si>
  <si>
    <t>Licence pro management des organisations spécialité métiers de la gestion des associations</t>
  </si>
  <si>
    <t>Licence pro management des organisations spécialité secteur associatif</t>
  </si>
  <si>
    <t>Licence pro mécanique spécialité  conception de produits, process et procédés</t>
  </si>
  <si>
    <t>Licence pro mécanique spécialité acoustique et vibrations</t>
  </si>
  <si>
    <t>Licence pro mécanique spécialité CAO et modélisation numérique</t>
  </si>
  <si>
    <t>Licence pro mécanique spécialité conception de produits industriels</t>
  </si>
  <si>
    <t>Licence pro mécanique spécialité conception des systèmes automobiles, contrôles et essais</t>
  </si>
  <si>
    <t>Licence pro mécanique spécialité conception et chaîne numérique</t>
  </si>
  <si>
    <t>Licence pro mécanique spécialité conception et fabrication assistée par ordinateur (cfao)</t>
  </si>
  <si>
    <t>Licence pro mécanique spécialité coordinateur technique des méthodes d'industrialisation</t>
  </si>
  <si>
    <t>Licence pro mécanique spécialité éco-concepteur de systèmes mécaniques</t>
  </si>
  <si>
    <t>Licence pro mécanique spécialité éco-conception et design</t>
  </si>
  <si>
    <t>Licence pro mécanique spécialité études et projets : conception (CAO), productique (CFAO)</t>
  </si>
  <si>
    <t>Licence pro mécanique spécialité groupe moto-propulseur et son environnement</t>
  </si>
  <si>
    <t>Licence pro mécanique spécialité mesures et essais en acoustique et vibrations</t>
  </si>
  <si>
    <t>Licence pro mécanique spécialité moteurs thermiques et vibrations acoustiques</t>
  </si>
  <si>
    <t>Licence pro mécanique spécialité plasturgie et matériaux composites (cao)</t>
  </si>
  <si>
    <t>Licence pro mécanique spécialité qualité et méthodes</t>
  </si>
  <si>
    <t>Licence pro mécanique spécialité structures aéronautiques et spatiales</t>
  </si>
  <si>
    <t>Licence pro métiers de l'édition spécialité conception graphique multimédia</t>
  </si>
  <si>
    <t>Licence pro option contrôle-commande et gestion technique centralisée</t>
  </si>
  <si>
    <t>Licence pro plasturgie et matériaux composites spécialité applications industrielles des matériaux polymères</t>
  </si>
  <si>
    <t>Licence pro plasturgie et matériaux composites spécialité conception et fabrication de structures en matériaux composites</t>
  </si>
  <si>
    <t>Licence pro plasturgie et matériaux composites spécialité conception et transformation des élastomères</t>
  </si>
  <si>
    <t>Licence pro plasturgie et matériaux composites spécialité éco-conception en plasturgie et composites</t>
  </si>
  <si>
    <t>Licence pro plasturgie et matériaux composites spécialité étude et mise en oeuvre des produits composites</t>
  </si>
  <si>
    <t>Licence pro plasturgie et matériaux composites spécialité industrialisation et mise en oeuvre des matériaux composites</t>
  </si>
  <si>
    <t>Licence pro plasturgie et matériaux composites spécialité industrialisation et valorisation des matériaux plastiques</t>
  </si>
  <si>
    <t>Licence pro plasturgie et matériaux composites spécialité innovation développement et management des process</t>
  </si>
  <si>
    <t>Licence pro plasturgie et matériaux composites spécialité matériaux grande diffusion et haute performance : conception, caractérisation et optimisation</t>
  </si>
  <si>
    <t>Licence pro plasturgie et matériaux composites spécialité plastiques et composites : recyclage et environnement</t>
  </si>
  <si>
    <t>Licence pro plasturgie et matériaux composites spécialité plasturgie</t>
  </si>
  <si>
    <t>Licence pro plasturgie et matériaux composites spécialité polymères techniques, composites avancés et sécurité industrielle</t>
  </si>
  <si>
    <t>Licence pro production industrielle spécialité animateur qualité</t>
  </si>
  <si>
    <t>Licence pro production industrielle spécialité arts et techniques appliquées</t>
  </si>
  <si>
    <t>Licence pro production industrielle spécialité automatisme, instrumentation et conduite des procédés</t>
  </si>
  <si>
    <t>Licence pro production industrielle spécialité chargé de projets en ingénierie et conception mécanique assistée par ordinateur</t>
  </si>
  <si>
    <t>Licence pro production industrielle spécialité chargé d'intégration en robotique industrielle</t>
  </si>
  <si>
    <t>Licence pro production industrielle spécialité conception de produits automobiles</t>
  </si>
  <si>
    <t>Licence pro production industrielle spécialité conception et optimisation de processus par usinage numérique ou déformation plastique</t>
  </si>
  <si>
    <t>Licence pro production industrielle spécialité conception et production aéronautique</t>
  </si>
  <si>
    <t>Licence pro production industrielle spécialité conduite et gestion de projets industriels en PME / PMI</t>
  </si>
  <si>
    <t>Licence pro production industrielle spécialité conduite et maintenance des installations énergétiques</t>
  </si>
  <si>
    <t>Licence pro production industrielle spécialité design de produits et packaging</t>
  </si>
  <si>
    <t>Licence pro production industrielle spécialité design et éco-conception, produits et packaging</t>
  </si>
  <si>
    <t>Licence pro production industrielle spécialité design, matériaux et modélisation (d2m)</t>
  </si>
  <si>
    <t>Licence pro production industrielle spécialité développement de la démarche d'innovation</t>
  </si>
  <si>
    <t>Licence pro production industrielle spécialité éco-conception des produits innovants</t>
  </si>
  <si>
    <t>Licence pro production industrielle spécialité éco-conception énergie environnement</t>
  </si>
  <si>
    <t>Licence pro production industrielle spécialité éco-conception et matières plastiques</t>
  </si>
  <si>
    <t>Licence pro production industrielle spécialité électrohydraulique mobile et automatismes associés</t>
  </si>
  <si>
    <t>Licence pro production industrielle spécialité hydraulique industrielle</t>
  </si>
  <si>
    <t>Licence pro production industrielle spécialité implantation, conduite maintenance d'installation robotisée</t>
  </si>
  <si>
    <t>Licence pro production industrielle spécialité industrialisation des systèmes automatisés de production</t>
  </si>
  <si>
    <t>Licence pro production industrielle spécialité informatique industrielle et productique</t>
  </si>
  <si>
    <t>Licence pro production industrielle spécialité ingénierie conception assistée par ordinateur et fabrication assistée par ordinateur des formes complexes</t>
  </si>
  <si>
    <t>Licence pro production industrielle spécialité ingénierie de construction et maintenance des ensembles tuyautés, chaudronnés, soudés</t>
  </si>
  <si>
    <t>Licence pro production industrielle spécialité ingénierie de la conception et prototype</t>
  </si>
  <si>
    <t>Licence pro production industrielle spécialité ingénierie des matériaux nouveaux</t>
  </si>
  <si>
    <t>Licence pro production industrielle spécialité ingénierie intégrée, mention qualité et environnement</t>
  </si>
  <si>
    <t>Licence pro production industrielle spécialité ingénierie simultanée en conception mécanique</t>
  </si>
  <si>
    <t>Licence pro production industrielle spécialité ingénierie simultanée en conception numérique de produits</t>
  </si>
  <si>
    <t>Licence pro production industrielle spécialité innovation et développement</t>
  </si>
  <si>
    <t>Licence pro production industrielle spécialité management des processus industriels</t>
  </si>
  <si>
    <t>Licence pro production industrielle spécialité manager en maintenance de matériels</t>
  </si>
  <si>
    <t>Licence pro production industrielle spécialité mécatronique</t>
  </si>
  <si>
    <t>Licence pro production industrielle spécialité méthodes de conception et de production avancées</t>
  </si>
  <si>
    <t>Licence pro production industrielle spécialité métiers industriels de la construction navale</t>
  </si>
  <si>
    <t>Licence pro production industrielle spécialité métrologie dimensionnelle qualité de la production en mécanique</t>
  </si>
  <si>
    <t>Licence pro production industrielle spécialité plasturgie et composites</t>
  </si>
  <si>
    <t>Licence pro production Industrielle spécialité prévention des risques industriels en maintenance et environnement</t>
  </si>
  <si>
    <t>Licence pro production industrielle spécialité prototypage de produit et d'outillage</t>
  </si>
  <si>
    <t>Licence pro production industrielle spécialité robotique</t>
  </si>
  <si>
    <t>Licence pro production industrielle spécialité robotique - conception et intégration des systèmes</t>
  </si>
  <si>
    <t>Licence pro production industrielle spécialité techniques nucléaires et radioprotection</t>
  </si>
  <si>
    <t>Licence pro production industrielle spécialité traitement de surfaces pour applications énergétiques : procédés et caractérisation associées</t>
  </si>
  <si>
    <t>Licence pro production industrielle spécialité traitement et contrôle des matériaux</t>
  </si>
  <si>
    <t>Licence pro protection de l'environnement spécialité aménagement et gestion des ressources en eau</t>
  </si>
  <si>
    <t>Licence pro protection de l'environnement spécialité analyse chimique appliquée à l'environnement</t>
  </si>
  <si>
    <t>Licence pro protection de l'environnement spécialité analyse et gestion du traitement des eaux, des boues et des déchets</t>
  </si>
  <si>
    <t>Licence pro protection de l'environnement spécialité eau : mesure et procédés</t>
  </si>
  <si>
    <t>Licence pro protection de l'environnement spécialité eau, ressources et infrastructures</t>
  </si>
  <si>
    <t>Licence pro protection de l'environnement spécialité géologie de l'aménagement</t>
  </si>
  <si>
    <t>Licence pro protection de l'environnement spécialité géomatique et environnement</t>
  </si>
  <si>
    <t>Licence pro protection de l'environnement spécialité gestion de l'environnement : métiers des déchets</t>
  </si>
  <si>
    <t>Licence pro protection de l'environnement spécialité gestion des services à l'environnement</t>
  </si>
  <si>
    <t>Licence pro protection de l'environnement spécialité gestion eau, sol, sous-sol</t>
  </si>
  <si>
    <t>Licence pro protection de l'environnement spécialité gestion et traitement des déchets</t>
  </si>
  <si>
    <t>Licence pro protection de l'environnement spécialité gestionnaire des déchets</t>
  </si>
  <si>
    <t>Licence pro protection de l'environnement spécialité maintenance appliquée au traitement des pollutions</t>
  </si>
  <si>
    <t>Licence pro protection de l'environnement spécialité métiers de l'eau</t>
  </si>
  <si>
    <t>Licence pro protection de l'environnement spécialité métiers du démantèlement des déchets de la dépollution et de la maîtrise des risques industriels</t>
  </si>
  <si>
    <t>Licence pro protection de l'environnement spécialité protection de l'environnement, gestion des eaux urbaines et rurales</t>
  </si>
  <si>
    <t>Licence pro protection de l'environnement spécialité radioprotection et environnement</t>
  </si>
  <si>
    <t>Licence pro réseaux et télécommunications spécialité administration et développement de sites internet</t>
  </si>
  <si>
    <t>Licence pro réseaux et télécommunications spécialité administration et sécurité des réseaux</t>
  </si>
  <si>
    <t>Licence pro réseaux et télécommunications spécialité administration et sécurité des réseaux d'entreprises(asur)</t>
  </si>
  <si>
    <t>Licence pro réseaux et télécommunications spécialité analyse, conception et développement de solutions réseaux Internet et intranet</t>
  </si>
  <si>
    <t>Licence pro réseaux et télécommunications spécialité architecture full IP</t>
  </si>
  <si>
    <t>Licence pro réseaux et télécommunications spécialité conception et maintenance des services intranet-internet</t>
  </si>
  <si>
    <t>Licence pro réseaux et télécommunications spécialité e-commerce</t>
  </si>
  <si>
    <t>Licence pro réseaux et télécommunications spécialité exploitation de réseaux</t>
  </si>
  <si>
    <t>Licence pro réseaux et télécommunications spécialité informatique et réseaux industriels</t>
  </si>
  <si>
    <t>Licence pro réseaux et télécommunications spécialité intégrateur de réseaux et de services intranet-Internet</t>
  </si>
  <si>
    <t>Licence pro réseaux et télécommunications spécialité intégration-administration des réseaux informatiques</t>
  </si>
  <si>
    <t>Licence pro réseaux et télécommunications spécialité réseaux et sécurité pour les télécommunications dans l'entreprise</t>
  </si>
  <si>
    <t>Licence pro réseaux et télécommunications spécialité web développeur</t>
  </si>
  <si>
    <t>Licence pro réseaux et télécommunications spécialité web et réseaux pour l'entreprise</t>
  </si>
  <si>
    <t>Licence pro ressources documentaires et bases de données spécialité gestionnaire de contenus en ligne documentaliste multi supports</t>
  </si>
  <si>
    <t>Licence pro ressources documentaires et bases de données spécialité management de l'information</t>
  </si>
  <si>
    <t>Licence pro ressources documentaires et bases de données spécialité médiation de l'information et du document dans les environnements numériques</t>
  </si>
  <si>
    <t>Licence pro santé spécialité statistique et informatique décisionnelles pour la santé</t>
  </si>
  <si>
    <t>Licence pro sécurité des biens et des personnes spécialité coordonnateur qualité, santé-sécurité, environnement</t>
  </si>
  <si>
    <t>Licence pro sécurité des biens et des personnes spécialité équipements et matériels de jeux, de sports et de loisirs : entretien, maintenance et contrôle</t>
  </si>
  <si>
    <t>Licence pro sécurité des biens et des personnes spécialité gestion des risques en entreprise (sécurité-environnement)</t>
  </si>
  <si>
    <t>Licence pro sécurité des biens et des personnes spécialité métiers de la sécurité</t>
  </si>
  <si>
    <t>Licence pro structures métalliques spécialité concepteur en installations industrielles</t>
  </si>
  <si>
    <t>Licence pro structures métalliques spécialité conception et calculs assistés par ordinateur</t>
  </si>
  <si>
    <t>Licence pro structures métalliques spécialité conduite et gestion des chantiers industriels</t>
  </si>
  <si>
    <t>Licence pro systèmes informatiques et logiciels spécialité administrateur de parc informatique</t>
  </si>
  <si>
    <t>Licence pro systèmes informatiques et logiciels spécialité administrateur de réseaux et de bases de données</t>
  </si>
  <si>
    <t>Licence pro systèmes informatiques et logiciels spécialité administration de systèmes, réseaux et applications à base de logiciels libres</t>
  </si>
  <si>
    <t>Licence pro systèmes informatiques et logiciels spécialité analyste programmeur spécialisé en ingénierie des objets</t>
  </si>
  <si>
    <t>Licence pro systèmes informatiques et logiciels spécialité analyste-concepteur de systèmes d'information et de décision</t>
  </si>
  <si>
    <t>Licence pro systèmes informatiques et logiciels spécialité assistant chef de projet informatique</t>
  </si>
  <si>
    <t>Licence pro systèmes informatiques et logiciels spécialité assistant chef de projet informatique (génie logiciel)</t>
  </si>
  <si>
    <t>Licence pro systèmes informatiques et logiciels spécialité bases de données, Internet et sécurité</t>
  </si>
  <si>
    <t>Licence pro systèmes informatiques et logiciels spécialité chargé de projet informatique</t>
  </si>
  <si>
    <t>Licence pro systèmes informatiques et logiciels spécialité concepteur-développeur en environnement distribué</t>
  </si>
  <si>
    <t>Licence pro systèmes informatiques et logiciels spécialité conception de solutions décisionnelles</t>
  </si>
  <si>
    <t>Licence pro systèmes informatiques et logiciels spécialité conception des systèmes d'information, intégration et décision</t>
  </si>
  <si>
    <t>Licence pro systèmes informatiques et logiciels spécialité conception et administration de systèmes d'information en réseau</t>
  </si>
  <si>
    <t>Licence pro systèmes informatiques et logiciels spécialité conception et développement orientés objet d'applications multi-tiers</t>
  </si>
  <si>
    <t>Licence pro systèmes informatiques et logiciels spécialité décision et traitement de l'information - data mining</t>
  </si>
  <si>
    <t>Licence pro systèmes informatiques et logiciels spécialité développement d'applications intranet / internet</t>
  </si>
  <si>
    <t>Licence pro systèmes informatiques et logiciels spécialité développement d'applications intranet-internet</t>
  </si>
  <si>
    <t>Licence pro systèmes informatiques et logiciels spécialité développement d'applications réparties</t>
  </si>
  <si>
    <t>Licence pro systèmes informatiques et logiciels spécialité développement et administration internet et intranet  (da2i)</t>
  </si>
  <si>
    <t>Aix-Marseille Université, École de l'air</t>
  </si>
  <si>
    <t>Licence pro systèmes informatiques et logiciels spécialité développeur et administrateur de systèmes d'information</t>
  </si>
  <si>
    <t>Licence pro systèmes informatiques et logiciels spécialité génie logiciel, développement d'applications pour plateformes mobiles</t>
  </si>
  <si>
    <t>Licence pro systèmes informatiques et logiciels spécialité génie logiciel, système d'information</t>
  </si>
  <si>
    <t>Licence pro systèmes informatiques et logiciels spécialité gestion des systèmes d'information, analyse base de données et décisionnel</t>
  </si>
  <si>
    <t>Licence pro systèmes informatiques et logiciels spécialité gestion et traitement statistiques des bases de données</t>
  </si>
  <si>
    <t>Licence pro systèmes informatiques et logiciels spécialité gestionnaire de système informatique d'entreprise(gsie)</t>
  </si>
  <si>
    <t>Licence pro systèmes informatiques et logiciels spécialité informatique de gestion</t>
  </si>
  <si>
    <t>Licence pro systèmes informatiques et logiciels spécialité informatique distribuée et système d'information d'entreprise</t>
  </si>
  <si>
    <t>Licence pro systèmes informatiques et logiciels spécialité informatique multimédia appliquée</t>
  </si>
  <si>
    <t>Licence pro systèmes informatiques et logiciels spécialité metinet : concepteur et gestionnaire de sites internet</t>
  </si>
  <si>
    <t>Licence pro systèmes informatiques et logiciels spécialité nouvelles technologies de l'informatique</t>
  </si>
  <si>
    <t>Licence pro systèmes informatiques et logiciels spécialité programmation en environnement réparti</t>
  </si>
  <si>
    <t>Licence pro systèmes informatiques et logiciels spécialité projet web, développement et communication multimédia</t>
  </si>
  <si>
    <t>Licence pro systèmes informatiques et logiciels spécialité sécurité informatique</t>
  </si>
  <si>
    <t>Licence pro systèmes informatiques et logiciels spécialité systèmes d'information : intégration et maintenance applicative</t>
  </si>
  <si>
    <t>Licence pro systèmes informatiques et logiciels spécialité systèmes d'information, méthodes et outils</t>
  </si>
  <si>
    <t>Licence pro systèmes informatiques et logiciels spécialité systèmes embarqués santé (s.e. santé)</t>
  </si>
  <si>
    <t>Licence pro systèmes informatiques et logiciels spécialité systèmes informatiques et réseaux embarqués</t>
  </si>
  <si>
    <t>Licence pro systèmes informatiques et logiciels spécialité technologies logicielles pour le web et les terminaux mobiles</t>
  </si>
  <si>
    <t>Licence pro techniques et activités de l'image et du son spécialité concepteur en niveaux et performances de jeux vidéos et numériques</t>
  </si>
  <si>
    <t>Licence pro techniques et activités de l'image et du son spécialité création et développement numérique en ligne</t>
  </si>
  <si>
    <t>Licence pro techniques et activités de l'image et du son spécialité création et intégration numériques</t>
  </si>
  <si>
    <t>Licence pro techniques et activités de l'image et du son spécialité métiers de la scène lyrique</t>
  </si>
  <si>
    <t>Licence pro techniques et activités de l'image et du son spécialité systèmes et réseaux dédiés au spectacle vivant (syrdes)</t>
  </si>
  <si>
    <t>Licence pro techniques et activités de l'image et du son spécialité webdesign</t>
  </si>
  <si>
    <t>Licence pro transformation industrielle spécialité écologie industrielle</t>
  </si>
  <si>
    <t>Licence pro transformation industrielle spécialité rudologie, gestion et traitement des déchets</t>
  </si>
  <si>
    <t>Licence pro transformations industrielles spécialité contrôle non destructifs des matériaux et des structures</t>
  </si>
  <si>
    <t>Licence pro transformations industrielles spécialité traitement des matériaux par laser</t>
  </si>
  <si>
    <t>Licence pro transformations industrielles spécialité traitements de surface et gestion environnementale</t>
  </si>
  <si>
    <t>Licence pro travaux publics spécialité conduite de projets de routes et de voirie et réseaux divers</t>
  </si>
  <si>
    <t>Licence pro travaux publics spécialité conduite de projets de travaux publics</t>
  </si>
  <si>
    <t>Licence pro travaux publics spécialité métiers de la route</t>
  </si>
  <si>
    <t>Licence pro travaux publics spécialité techniques routières</t>
  </si>
  <si>
    <t>Licence pro travaux publics spécialité terrassements, assainissement, routes et réseaux</t>
  </si>
  <si>
    <t>Licence sciences et techniques des activités physiques et sportives mention activité physique adaptée et santé</t>
  </si>
  <si>
    <t>Licence sciences et techniques des activités physiques et sportives mention éducation et motricité</t>
  </si>
  <si>
    <t>Licence sciences et techniques des activités physiques et sportives mention sciences et techniques des activités physiques et sportives spécialité activité physique adaptée et santé</t>
  </si>
  <si>
    <t>Licence sciences et techniques des activités physiques et sportives mention sciences et techniques des activités physiques et sportives spécialité activités physiques adaptées et santé</t>
  </si>
  <si>
    <t>Licence sciences et techniques des activités physiques et sportives mention sciences et techniques des activités physiques et sportives spécialité éducation et motricité</t>
  </si>
  <si>
    <t>Licence sciences, technologies, santé mention informatique</t>
  </si>
  <si>
    <t>Licence sciences, technologies, santé mention sciences pour l'ingénieur - électronique, électrotechnique, automatique, productique, réseaux</t>
  </si>
  <si>
    <t>Licence sciences, technologies, santé mention sciences pour l'ingénieur mécanique - génie civil</t>
  </si>
  <si>
    <t>Manager à l'international option gestion - finance</t>
  </si>
  <si>
    <t>American business school - groupe IGS (ABS)</t>
  </si>
  <si>
    <t>Manager à l'international option marketing - vente</t>
  </si>
  <si>
    <t>Manager de centre de profit</t>
  </si>
  <si>
    <t>Centre de perfectionnement aux affaires Grand Sud Ouest - Groupe ESC Toulouse</t>
  </si>
  <si>
    <t>Manager de proximité dans l'économie sociale et solidaire</t>
  </si>
  <si>
    <t>Manager du déploiement opérationnel du développement durable</t>
  </si>
  <si>
    <t>Association de formation professionnelle de l'industrie de la Loire (AFPI Loire)</t>
  </si>
  <si>
    <t>Manager opérationnel d'un centre de profit</t>
  </si>
  <si>
    <t>Manager PME/PMI</t>
  </si>
  <si>
    <t>Ecole supérieure de commerce et management (OMNIS)</t>
  </si>
  <si>
    <t>Négociateur(trice) d'affaires</t>
  </si>
  <si>
    <t>Adales - CFA Léonard de Vinci</t>
  </si>
  <si>
    <t>Planificateur de prestations logistiques internationales</t>
  </si>
  <si>
    <t>Programme de formation internationale en management</t>
  </si>
  <si>
    <t>Régisseur général du spectacle vivant et de l'événementiel</t>
  </si>
  <si>
    <t>Grim Edif</t>
  </si>
  <si>
    <t>Responsable achats - Novancia</t>
  </si>
  <si>
    <t>Novancia Business school Paris</t>
  </si>
  <si>
    <t>Responsable chaîne logistique</t>
  </si>
  <si>
    <t>École supérieure de logistique industrielle (ESLI)</t>
  </si>
  <si>
    <t>Responsable commercial en affaires internationales</t>
  </si>
  <si>
    <t>La compagnie de formation - MBWAY</t>
  </si>
  <si>
    <t>Responsable commercial et marketing</t>
  </si>
  <si>
    <t>Responsable commercial zone export</t>
  </si>
  <si>
    <t>Responsable comptable</t>
  </si>
  <si>
    <t>Responsable comptable et financier</t>
  </si>
  <si>
    <t>Responsable conception, mise en place et maintenance des installations frigorifiques et climatiques</t>
  </si>
  <si>
    <t>institut supérieur du froid industriel et du génie climatique  - CNAM</t>
  </si>
  <si>
    <t>Responsable d'activité bancaire</t>
  </si>
  <si>
    <t>Responsable d'activités en environnement nucléaire</t>
  </si>
  <si>
    <t>Responsable d'affaires commerciales à l'international</t>
  </si>
  <si>
    <t>Responsable d'association</t>
  </si>
  <si>
    <t>Responsable de centre de profit en distribution</t>
  </si>
  <si>
    <t>Conseil National de l'Enseignement Agricole Privé (CNEAP)</t>
  </si>
  <si>
    <t>Responsable de centre de profit et de business unit</t>
  </si>
  <si>
    <t>Responsable de communication (dernière session 2015)</t>
  </si>
  <si>
    <t>Responsable de communication (dernière session 2017)</t>
  </si>
  <si>
    <t>Institut de relations publiques et de la communication (IRCOM)</t>
  </si>
  <si>
    <t>Centre d'études supérieures alternées en communication (CESACOM)</t>
  </si>
  <si>
    <t>Responsable de communication (dernière session 2018)</t>
  </si>
  <si>
    <t>Ecole française des attachés de presse et des professionnels de la communication</t>
  </si>
  <si>
    <t>Responsable de communication et de publicité</t>
  </si>
  <si>
    <t>Sup de pub - groupe INSEEC</t>
  </si>
  <si>
    <t>Responsable de communication et développement web</t>
  </si>
  <si>
    <t>Responsable de développement commercial</t>
  </si>
  <si>
    <t>CCI France - Réseau Negoventis</t>
  </si>
  <si>
    <t>Responsable de formation (DURF)</t>
  </si>
  <si>
    <t>Université d'Angers, Université de Lorraine, Université de Picardie Jules Verne,</t>
  </si>
  <si>
    <t>Responsable de gestion</t>
  </si>
  <si>
    <t>Responsable de gestion des ressources humaines</t>
  </si>
  <si>
    <t>Responsable de la chaîne logistique</t>
  </si>
  <si>
    <t>Ecole supérieure des Pays de Loire (ESPL)</t>
  </si>
  <si>
    <t>Responsable de la communication</t>
  </si>
  <si>
    <t>ESGCV - IICP (Institut international de la communication de Paris)</t>
  </si>
  <si>
    <t>Responsable de la création (projets on-line et off-line)</t>
  </si>
  <si>
    <t>e-artsup institut</t>
  </si>
  <si>
    <t>Responsable de la fonction achat</t>
  </si>
  <si>
    <t>Cegos, Reims Management School</t>
  </si>
  <si>
    <t>Responsable de la gestion de la paie et du social</t>
  </si>
  <si>
    <t>Responsable de la gestion des ressources humaines</t>
  </si>
  <si>
    <t>Groupe Institut de Gestion Sociale (IGS)</t>
  </si>
  <si>
    <t>Responsable de l'administration commerciale internationale zone Europe</t>
  </si>
  <si>
    <t>Ecole supérieure Billières Jaurès, IFC Provence (IFC)</t>
  </si>
  <si>
    <t>Responsable de l'analyse et du développement stratégiques des marchés</t>
  </si>
  <si>
    <t>Responsable de production transport de personnes</t>
  </si>
  <si>
    <t>AFTRAL</t>
  </si>
  <si>
    <t>Responsable de projets de formation</t>
  </si>
  <si>
    <t>Responsable de projets en marketing</t>
  </si>
  <si>
    <t>Responsable de projets informatiques</t>
  </si>
  <si>
    <t>Institut supérieur de technologie de Lyon (Sup' La Mache), Partner formation</t>
  </si>
  <si>
    <t>Responsable de projets marketing communication</t>
  </si>
  <si>
    <t>Responsable de structure d'accueil touristique</t>
  </si>
  <si>
    <t>Institut national de formation et d'application (INFA)</t>
  </si>
  <si>
    <t>Responsable de systèmes de management qualité - hygiène - sécurité - environnement</t>
  </si>
  <si>
    <t>Responsable de travaux bâtiment et travaux publics</t>
  </si>
  <si>
    <t>Responsable de zone import-export</t>
  </si>
  <si>
    <t>Ecole supérieure des hautes études du commerce international (HECI Saint-Louis)</t>
  </si>
  <si>
    <t>Responsable des achats - CDAF</t>
  </si>
  <si>
    <t>CDAF Formation</t>
  </si>
  <si>
    <t>Responsable des achats - CNAM</t>
  </si>
  <si>
    <t>Responsable des opérations logistiques</t>
  </si>
  <si>
    <t>Responsable des ressources humaines (dernière session 2015)</t>
  </si>
  <si>
    <t>École internationale de management de Paris</t>
  </si>
  <si>
    <t>Responsable des ressources humaines (dernière session 2018)</t>
  </si>
  <si>
    <t>Ecole supérieure de gestion des ressources humaines</t>
  </si>
  <si>
    <t>Responsable des systèmes qualité, hygiène, sécurité, environnement</t>
  </si>
  <si>
    <t>Institut supérieur Sully</t>
  </si>
  <si>
    <t>Responsable d'organismes sociaux</t>
  </si>
  <si>
    <t>ASKORIA</t>
  </si>
  <si>
    <t>Responsable du développement commercial (dernière session 2014)</t>
  </si>
  <si>
    <t>CFA ISD-Flaubert</t>
  </si>
  <si>
    <t>Responsable du développement commercial (dernière session 2020)</t>
  </si>
  <si>
    <t>Responsable du développement commercial à l'import/export</t>
  </si>
  <si>
    <t>Association Saint-Yves - Université catholique de l'Ouest (UCO), Institut de lan</t>
  </si>
  <si>
    <t>Responsable du développement commercial et marketing (dernière session 2017)</t>
  </si>
  <si>
    <t>Responsable du développement commercial industrie et services</t>
  </si>
  <si>
    <t>Responsable du développement d'unité commerciale</t>
  </si>
  <si>
    <t>Institut des professions des affaires et du commerce d'Annecy (IPAC), Institut d</t>
  </si>
  <si>
    <t>Responsable du management commercial et marketing</t>
  </si>
  <si>
    <t>Responsable du marketing et du développement commercial</t>
  </si>
  <si>
    <t>Institut de recherche et d'action commerciale  - Nantes, Institut de recherche e</t>
  </si>
  <si>
    <t>Responsable d'un centre de profit</t>
  </si>
  <si>
    <t>Responsable en commerce international</t>
  </si>
  <si>
    <t>Responsable en développement marketing et vente</t>
  </si>
  <si>
    <t>Ecole finistérienne de commerce et de gestion - EFCG, Ecole technique privée Eco</t>
  </si>
  <si>
    <t>Responsable en études et en développement du système d'information</t>
  </si>
  <si>
    <t>HITEMA</t>
  </si>
  <si>
    <t>Responsable en gestion (dernière session 2015)</t>
  </si>
  <si>
    <t>Groupement d'enseignement supérieur commercial de l'Est Parisien (GESCEP) - Ecol</t>
  </si>
  <si>
    <t>Responsable en gestion administrative et ressources humaines</t>
  </si>
  <si>
    <t>Ecole technique privée Ecoris Chambéry, ICADEMIE éditions, Institut pour la form</t>
  </si>
  <si>
    <t>Responsable en gestion des relations sociales</t>
  </si>
  <si>
    <t>Softec avenir formation</t>
  </si>
  <si>
    <t>Responsable en ingénierie des logiciels</t>
  </si>
  <si>
    <t>Responsable en ingénierie d'étude et de production option agroalimentaire</t>
  </si>
  <si>
    <t>Responsable en ingénierie d'étude et de production option chimie</t>
  </si>
  <si>
    <t>Responsable en ingénierie d'étude et de production option génie biologique</t>
  </si>
  <si>
    <t>Responsable en ingénierie d'étude et de production option génie chimique</t>
  </si>
  <si>
    <t>Responsable en logistique</t>
  </si>
  <si>
    <t>Responsable en logistique de distribution</t>
  </si>
  <si>
    <t>Institut supérieur de la logistique et du transport</t>
  </si>
  <si>
    <t>Responsable en management et gestion d'activité</t>
  </si>
  <si>
    <t>Responsable en management opérationnel (dernière session 2015)</t>
  </si>
  <si>
    <t>Responsable en marketing, commercialisation et gestion</t>
  </si>
  <si>
    <t>CCI France - réseau EGC</t>
  </si>
  <si>
    <t>Responsable en ressources humaines (dernière session 2015)</t>
  </si>
  <si>
    <t>Institut de psychologie et sociologie appliqués (IPSA) / Institut catholique de</t>
  </si>
  <si>
    <t>Responsable formation et développement des compétences</t>
  </si>
  <si>
    <t>Responsable logistique</t>
  </si>
  <si>
    <t>CCI France - Réseau Logistique</t>
  </si>
  <si>
    <t>Responsable management durable qualité sécurité environnement</t>
  </si>
  <si>
    <t>Chambre de commerce et d'industrie de Moulins-Vichy</t>
  </si>
  <si>
    <t>Responsable marketing et commercial</t>
  </si>
  <si>
    <t>Responsable marketing et communication interactive</t>
  </si>
  <si>
    <t>Responsable marketing touristique</t>
  </si>
  <si>
    <t>Ecole française d'hôtesse et de tourisme</t>
  </si>
  <si>
    <t>Responsable opérationnel des flux</t>
  </si>
  <si>
    <t>Responsable opérationnel d'unité</t>
  </si>
  <si>
    <t>Responsable opérationnel en gestion d'entreprise</t>
  </si>
  <si>
    <t>Rouen Business School</t>
  </si>
  <si>
    <t>Responsable projet communication interne/externe</t>
  </si>
  <si>
    <t>Institut international du commerce et de la distribution - Groupe institut de ge</t>
  </si>
  <si>
    <t>Responsable qualité sécurité environnement (dernière session 2016)</t>
  </si>
  <si>
    <t>Centre de Ressources de Techniques Avancées (CRTA)</t>
  </si>
  <si>
    <t>Responsable qualité sécurité environnement (dernière session 2017)</t>
  </si>
  <si>
    <t>Responsable qualité sécurité environnement (dernière session 2019)</t>
  </si>
  <si>
    <t>CFAS Institut</t>
  </si>
  <si>
    <t>Responsable qualité, environnement, sécurité</t>
  </si>
  <si>
    <t>INTERFOR SIA</t>
  </si>
  <si>
    <t>Responsable qualité, sécurité, environnement</t>
  </si>
  <si>
    <t>Institut de formations supérieures du Grand Ouest</t>
  </si>
  <si>
    <t>Responsable ressources humaines (dernière session 2016)</t>
  </si>
  <si>
    <t>Chambre de commerce et d'industrie territoriale Grand Hainaut</t>
  </si>
  <si>
    <t>Responsable ressources humaines (dernière session 2018)</t>
  </si>
  <si>
    <t>Responsable système QHSE (qualité / hygiène / sécurité / environnement)</t>
  </si>
  <si>
    <t>Responsable technique en aménagement d'espaces sportifs</t>
  </si>
  <si>
    <t>TECOMAH</t>
  </si>
  <si>
    <t>Souscripteur en réassurance</t>
  </si>
  <si>
    <t>Sténotypiste de conférences</t>
  </si>
  <si>
    <t>Ecole Grandjean</t>
  </si>
  <si>
    <t>Styliste designer mode</t>
  </si>
  <si>
    <t>ESMOD international (ESMOD)</t>
  </si>
  <si>
    <t>Technicien supérieur professionnel en géologie</t>
  </si>
  <si>
    <t>Titre professionnel concepteur(trice)-développeur(euse) informatique</t>
  </si>
  <si>
    <t>Ministère du travail, de l'emploi, de la formation professionnelle et du dialogu</t>
  </si>
  <si>
    <t>Niveau III</t>
  </si>
  <si>
    <t>Analyste développeur</t>
  </si>
  <si>
    <t>Analyste-programmeur</t>
  </si>
  <si>
    <t>Animateur e-commerce</t>
  </si>
  <si>
    <t>Formaouest</t>
  </si>
  <si>
    <t>Artiste clown</t>
  </si>
  <si>
    <t>Le Samovar</t>
  </si>
  <si>
    <t>Artiste mime (dernière session 2015)</t>
  </si>
  <si>
    <t>Académie européenne de théâtre corporel - Studio Magénia</t>
  </si>
  <si>
    <t>Artiste mime (dernière session 2016)</t>
  </si>
  <si>
    <t>Ecole internationale de mime corporel dramatique</t>
  </si>
  <si>
    <t>Assistant de direction  hôtellerie</t>
  </si>
  <si>
    <t>École professionnelle de tourisme et d'hôtellerie (EPTH)</t>
  </si>
  <si>
    <t>Assistant de gestion</t>
  </si>
  <si>
    <t>Assistant du chef d'entreprise PME-PMI</t>
  </si>
  <si>
    <t>ROYER ROBIN Associés</t>
  </si>
  <si>
    <t>Assistant manager tourisme hôtellerie restauration</t>
  </si>
  <si>
    <t>Assistant sécurité réseau et help desk</t>
  </si>
  <si>
    <t>Assistant(e) administration des ventes</t>
  </si>
  <si>
    <t>Assistant(e) archiviste - archives matérielles et numériques</t>
  </si>
  <si>
    <t>Association de prévention du site de la Villette, Association des archivistes fr</t>
  </si>
  <si>
    <t>Assistant(e) commercial(e)</t>
  </si>
  <si>
    <t>Assistant(e) commercial(e) France et international</t>
  </si>
  <si>
    <t>Assistant(e) de direction (dernière session 2017)</t>
  </si>
  <si>
    <t>Assistant(e) de direction(s)</t>
  </si>
  <si>
    <t>CCI France - Réseau ESMASS</t>
  </si>
  <si>
    <t>Assistant(e) en gestion des entreprises option action commerciale</t>
  </si>
  <si>
    <t>Assistant(e) en gestion des entreprises option comptabilité</t>
  </si>
  <si>
    <t>Assistant(e) en gestion des ressources humaines</t>
  </si>
  <si>
    <t>CEPRECO école de la CCILM</t>
  </si>
  <si>
    <t>Assistant(e) en ressources humaines (dernière session 2015)</t>
  </si>
  <si>
    <t>Chambre de commerce et d'industrie Grand Lille</t>
  </si>
  <si>
    <t>Assistant(e) en ressources humaines (dernière session 2017)</t>
  </si>
  <si>
    <t>Assistant(e) export</t>
  </si>
  <si>
    <t>Assistant(e) import-export</t>
  </si>
  <si>
    <t>Assistant(e) juridique</t>
  </si>
  <si>
    <t>Institut juridique d'Aquitaine (IJA)</t>
  </si>
  <si>
    <t>Assistant(e) juridique - CCI Rouen</t>
  </si>
  <si>
    <t>Chambre de commerce et d'industrie de Rouen</t>
  </si>
  <si>
    <t>Assistant(e) juridique - IFOCOP</t>
  </si>
  <si>
    <t>Assistant(e) recrutement</t>
  </si>
  <si>
    <t>École supérieure des métiers des agences d'emploi - ESMAE Lyon, École supérieure</t>
  </si>
  <si>
    <t>Assistant(e) ressources humaines</t>
  </si>
  <si>
    <t>Attaché commercial</t>
  </si>
  <si>
    <t>Bibliothécaire documentaliste</t>
  </si>
  <si>
    <t>Ecole de bibliothécaires documentalistes (EBD)</t>
  </si>
  <si>
    <t>Boucher-charcutier-traiteur (BM)</t>
  </si>
  <si>
    <t>Assemblée permanente des chambres de métiers et de l'artisanat</t>
  </si>
  <si>
    <t>Boulanger (BM)</t>
  </si>
  <si>
    <t>BTS aéronautique</t>
  </si>
  <si>
    <t>BTS agencement de l'environnement architectural</t>
  </si>
  <si>
    <t>BTS analyses de biologie médicale</t>
  </si>
  <si>
    <t>BTS assistance technique d'ingénieur</t>
  </si>
  <si>
    <t>BTS assistant de gestion de PME-PMI à référentiel commun européen</t>
  </si>
  <si>
    <t>BTS assistant de manager</t>
  </si>
  <si>
    <t>BTS assurance</t>
  </si>
  <si>
    <t>BTS banque option A : marché des particuliers</t>
  </si>
  <si>
    <t>BTS banque option B : marché des professionnels</t>
  </si>
  <si>
    <t>BTS bâtiment</t>
  </si>
  <si>
    <t>BTS biotechnologie</t>
  </si>
  <si>
    <t>BTS charpente-couverture</t>
  </si>
  <si>
    <t>BTS chimiste</t>
  </si>
  <si>
    <t>BTS communication</t>
  </si>
  <si>
    <t>BTS comptabilité et gestion des organisations</t>
  </si>
  <si>
    <t>BTS conception de produits industriels</t>
  </si>
  <si>
    <t>BTS conception et industrialisation en microtechniques</t>
  </si>
  <si>
    <t>BTS conception et réalisation de systèmes automatiques</t>
  </si>
  <si>
    <t>BTS conception et réalisation en chaudronnerie industrielle</t>
  </si>
  <si>
    <t>BTS construction navale</t>
  </si>
  <si>
    <t>BTS constructions métalliques</t>
  </si>
  <si>
    <t>BTS contrôle des rayonnements ionisants et applications techniques de protection</t>
  </si>
  <si>
    <t>BTS contrôle industriel et régulation automatique</t>
  </si>
  <si>
    <t>BTS design de communication espace et volume</t>
  </si>
  <si>
    <t>BTS design de produits</t>
  </si>
  <si>
    <t>BTS design d'espace</t>
  </si>
  <si>
    <t>BTS design graphique option B : communication et médias numériques</t>
  </si>
  <si>
    <t>BTS diététique</t>
  </si>
  <si>
    <t>BTS domotique</t>
  </si>
  <si>
    <t>BTS économie sociale familiale</t>
  </si>
  <si>
    <t>BTS électrotechnique</t>
  </si>
  <si>
    <t>BTS enveloppe du bâtiment : façades, étanchéité</t>
  </si>
  <si>
    <t>BTS environnement nucléaire</t>
  </si>
  <si>
    <t>BTS études et économie de la construction</t>
  </si>
  <si>
    <t>BTS études et réalisations d'outillage de mise en forme des matériaux</t>
  </si>
  <si>
    <t>BTS fluides-énergies- environnements option A : génie sanitaire et thermique</t>
  </si>
  <si>
    <t>BTS fluides-énergies-domotique option B froid et conditionnement d'air</t>
  </si>
  <si>
    <t>BTS fluides-énergies-environnements option B : génie climatique</t>
  </si>
  <si>
    <t>BTS fluides-énergies-environnements option C : génie frigorifique</t>
  </si>
  <si>
    <t>BTS fluides-énergies-environnements option D : maintenance et gestion des systèmes fluidiques et énergétiques</t>
  </si>
  <si>
    <t>BTS fonderie</t>
  </si>
  <si>
    <t>BTS génie optique option A : photonique</t>
  </si>
  <si>
    <t>BTS génie optique option B : optique instrumentale</t>
  </si>
  <si>
    <t>BTS géologie appliquée</t>
  </si>
  <si>
    <t>BTS géomètre topographe</t>
  </si>
  <si>
    <t>BTS hôtellerie-restauration option A : mercatique et gestion hôtelière</t>
  </si>
  <si>
    <t>BTS hôtellerie-restauration option B : art culinaire, art de la table et du service</t>
  </si>
  <si>
    <t>BTS hygiène propreté environnement</t>
  </si>
  <si>
    <t>BTS industrialisation des produits mécaniques</t>
  </si>
  <si>
    <t>BTS industries plastiques Europlastic à référentiel commun européen</t>
  </si>
  <si>
    <t>BTS informatique et réseaux pour l'industrie et les services techniques</t>
  </si>
  <si>
    <t>BTS maintenance des systèmes option A : systèmes de production</t>
  </si>
  <si>
    <t>BTS maintenance des systèmes option B : systèmes énergétiques et fluidiques</t>
  </si>
  <si>
    <t>BTS maintenance des systèmes option C : systèmes éoliens</t>
  </si>
  <si>
    <t>BTS maintenance et après-vente des engins de travaux publics et de manutention</t>
  </si>
  <si>
    <t>BTS maintenance industrielle</t>
  </si>
  <si>
    <t>BTS management des unités commerciales</t>
  </si>
  <si>
    <t>BTS métiers de la mode - chaussure et maroquinerie</t>
  </si>
  <si>
    <t>BTS métiers de l'audiovisuel option gestion de production</t>
  </si>
  <si>
    <t>BTS métiers de l'audiovisuel option métiers de l'image</t>
  </si>
  <si>
    <t>BTS métiers de l'audiovisuel option métiers du son</t>
  </si>
  <si>
    <t>BTS métiers de l'audiovisuel option montage et postproduction</t>
  </si>
  <si>
    <t>BTS métiers de l'audiovisuel option techniques d'ingénierie et exploitation des équipements</t>
  </si>
  <si>
    <t>BTS métiers de l'eau</t>
  </si>
  <si>
    <t>BTS métiers de l'esthétique-cosmétique-parfumerie option A : management</t>
  </si>
  <si>
    <t>BTS métiers de l'esthétique-cosmétique-parfumerie option B : formation-marques</t>
  </si>
  <si>
    <t>BTS métiers de l'esthétique-cosmétique-parfumerie option C : cosmétologie</t>
  </si>
  <si>
    <t>BTS moteurs à combustion interne</t>
  </si>
  <si>
    <t>BTS négociation et relation client</t>
  </si>
  <si>
    <t>BTS opticien-lunetier</t>
  </si>
  <si>
    <t>BTS professions immobilières</t>
  </si>
  <si>
    <t>BTS qualité dans les industries alimentaires et les bio-industries</t>
  </si>
  <si>
    <t>BTS responsable d'hébergement à référentiel commun européen</t>
  </si>
  <si>
    <t>BTS services et prestations des secteurs sanitaire et social</t>
  </si>
  <si>
    <t>BTS services informatiques aux organisations option A : solutions d'infrastructure, systèmes et réseaux</t>
  </si>
  <si>
    <t>BTS services informatiques aux organisations option B : solutions logicielles et applications métiers</t>
  </si>
  <si>
    <t>BTS systèmes constructifs bois et habitat (dernière session 2015)</t>
  </si>
  <si>
    <t>BTS systèmes électroniques</t>
  </si>
  <si>
    <t>BTS technico-commercial spécialité matériel agricole, travaux publics</t>
  </si>
  <si>
    <t>BTS techniques et services en matériels agricoles</t>
  </si>
  <si>
    <t>BTS techniques physiques pour l'industrie et le laboratoire</t>
  </si>
  <si>
    <t>BTS tourisme</t>
  </si>
  <si>
    <t>BTS traitement des matériaux option A : traitements thermiques</t>
  </si>
  <si>
    <t>BTS traitement des matériaux option B : traitements de surfaces</t>
  </si>
  <si>
    <t>BTS transport et prestations logistiques</t>
  </si>
  <si>
    <t>BTS travaux publics</t>
  </si>
  <si>
    <t>BTSA agronomie : productions végétales</t>
  </si>
  <si>
    <t>Ministère de l'agriculture, de l'agroalimentaire et de la forêt</t>
  </si>
  <si>
    <t>BTSA aménagements paysagers</t>
  </si>
  <si>
    <t>BTSA analyse et conduite de systèmes d'exploitation</t>
  </si>
  <si>
    <t>BTSA analyses agricoles, biologiques et biotechnologiques</t>
  </si>
  <si>
    <t>BTSA aquaculture</t>
  </si>
  <si>
    <t>BTSA développement de l'agriculture des régions chaudes</t>
  </si>
  <si>
    <t>BTSA développement de l'agriculture des régions chaudes (dernière session 2015)</t>
  </si>
  <si>
    <t>BTSA développement, animation des territoires ruraux</t>
  </si>
  <si>
    <t>BTSA génie des équipements agricoles</t>
  </si>
  <si>
    <t>BTSA gestion et maîtrise de l'eau</t>
  </si>
  <si>
    <t>BTSA gestion et protection de la nature</t>
  </si>
  <si>
    <t>BTSA gestion forestière</t>
  </si>
  <si>
    <t>BTSA production horticole</t>
  </si>
  <si>
    <t>BTSA productions animales</t>
  </si>
  <si>
    <t>BTSA technico-commercial animaux d'élevage et de compagnie</t>
  </si>
  <si>
    <t>BTSA technico-commercial jardins et végétaux d'ornement</t>
  </si>
  <si>
    <t>BTSA technico-commercial produits de la filière forêt bois</t>
  </si>
  <si>
    <t>BTSA technico-commercial vins et spiritueux</t>
  </si>
  <si>
    <t>BTSA viticulture-oenologie</t>
  </si>
  <si>
    <t>Certificat de spécialisation collaborateur du concepteur paysagiste</t>
  </si>
  <si>
    <t>Certificat de spécialisation hydraulique agricole</t>
  </si>
  <si>
    <t>Certificat de spécialisation responsable de fromagerie en fabrication traditionnelle</t>
  </si>
  <si>
    <t>Certificat de spécialisation responsable technico-commercial : fruits et légumes</t>
  </si>
  <si>
    <t>Certificat de spécialisation responsable technico-commercial : horticulture ornementale</t>
  </si>
  <si>
    <t>Certificat de spécialisation responsable technico-commercial en agro-équipements</t>
  </si>
  <si>
    <t>Certificat de spécialisation responsable technico-commercial en vins et produits dérivés : orientation commerce</t>
  </si>
  <si>
    <t>Certificat de spécialisation responsable technico-commercial en vins et produits dérivés : orientation produit</t>
  </si>
  <si>
    <t>Certificat de spécialisation technicien animateur qualité en entreprise vitivinicole</t>
  </si>
  <si>
    <t>Chargé d'accompagnement social et professionnel</t>
  </si>
  <si>
    <t>Chargé de clientèle en banque et assurance</t>
  </si>
  <si>
    <t>Chargé de gestion administrative bilingue</t>
  </si>
  <si>
    <t>Centre Paris Europe Alternance</t>
  </si>
  <si>
    <t>Chargé de la gestion et de l'activité commerciale de l'entreprise</t>
  </si>
  <si>
    <t>Chambre de commerce et d'industrie de la Seine-et-Marne</t>
  </si>
  <si>
    <t>Chargé de recouvrement</t>
  </si>
  <si>
    <t>AFDCC</t>
  </si>
  <si>
    <t>Chef machiniste du spectacle vivant</t>
  </si>
  <si>
    <t>Comédien acteur</t>
  </si>
  <si>
    <t>Association théâtrale de recherche et d'expression (ATRE)</t>
  </si>
  <si>
    <t>Comédien, acteur</t>
  </si>
  <si>
    <t>Arts en Scène (ARS)</t>
  </si>
  <si>
    <t>Comptable</t>
  </si>
  <si>
    <t>Concepteur de supports de communication</t>
  </si>
  <si>
    <t>MJM Graphic design (MJM) - Paris, MJM Graphic design (MJM) - Strasbourg</t>
  </si>
  <si>
    <t>Conseiller de clientèle banque assurance</t>
  </si>
  <si>
    <t>Institut de formation et de développement</t>
  </si>
  <si>
    <t>Conseiller d'élevage avicole</t>
  </si>
  <si>
    <t>Avipôle formation</t>
  </si>
  <si>
    <t>Conseiller emploi formation insertion</t>
  </si>
  <si>
    <t>Groupement d'intérêt public (GIP) Formavie Montpellier, Groupement d'intérêt pub</t>
  </si>
  <si>
    <t>Conseiller en assurance et épargne</t>
  </si>
  <si>
    <t>Conseiller technico-commercial</t>
  </si>
  <si>
    <t>Centre de formation professionnelle la Joliverie</t>
  </si>
  <si>
    <t>Coordinateur de l'intervention sociale et professionnelle</t>
  </si>
  <si>
    <t>Centre de Ressources Arobase</t>
  </si>
  <si>
    <t>Costumier(e)</t>
  </si>
  <si>
    <t>Ecole supérieure d'arts appliqués Boulle - GRETA de la création, du design et de</t>
  </si>
  <si>
    <t>DEJEPS spécialité animation socio-éducative ou culturelle mention animation sociale</t>
  </si>
  <si>
    <t>DEJEPS spécialité animation socio-éducative ou culturelle mention développement de projets, territoires et réseaux</t>
  </si>
  <si>
    <t>DEJEPS spécialité perfectionnement sportif mention golf</t>
  </si>
  <si>
    <t>DEUST arts, lettres, langues formation de base aux métiers du théâtre</t>
  </si>
  <si>
    <t>DEUST arts, lettres, langues spécialité arts du spectacle</t>
  </si>
  <si>
    <t>DEUST arts, lettres, langues spécialité production industrielle spécialité(s) : arts et techniques appliquées</t>
  </si>
  <si>
    <t>DEUST droit, économie, gestion spécialité assistant juridique</t>
  </si>
  <si>
    <t>DEUST droit, économie, gestion spécialité banques : organismes financiers et de prévoyance</t>
  </si>
  <si>
    <t>DEUST droit, économie, gestion spécialité bureautique et communication multimédia</t>
  </si>
  <si>
    <t>DEUST sciences humaines et sociales spécialité animation et gestion des activités physiques et sportives ou culturelles</t>
  </si>
  <si>
    <t>DEUST sciences humaines et sociales spécialité métiers des bibliothèques et de la documentation</t>
  </si>
  <si>
    <t>DEUST sciences humaines et sociales spécialité STAPS : animation et gestion des activités physiques, sportives ou culturelles</t>
  </si>
  <si>
    <t>DEUST sciences humaines et sociales spécialité technicien des médias interactifs et communicants</t>
  </si>
  <si>
    <t>DEUST sciences, technologies, santé spécialité alimentation et nutrition</t>
  </si>
  <si>
    <t>DEUST sciences, technologies, santé spécialité informatique d'organisation et systèmes d'information</t>
  </si>
  <si>
    <t>SA Formasoft</t>
  </si>
  <si>
    <t>Développeur web</t>
  </si>
  <si>
    <t>Développeur-intégrateur de solutions intranet/internet</t>
  </si>
  <si>
    <t>Chambre de commerce et d'industrie de Colmar et du Centre-Alsace</t>
  </si>
  <si>
    <t>Diagnostiqueur technique immobilier</t>
  </si>
  <si>
    <t>Organisme de formations en immobilier et bâtiment</t>
  </si>
  <si>
    <t>Diplôme d'Etat d'assistant de service social</t>
  </si>
  <si>
    <t>Diplôme d'État de conseiller en économie sociale et familiale</t>
  </si>
  <si>
    <t>Diplôme d'Etat de masseur-kinésithérapeute</t>
  </si>
  <si>
    <t>Direction générale de la santé, Ministère de l'enseignement supérieur et de la r</t>
  </si>
  <si>
    <t>Diplôme d'État de professeur de danse option danse classique</t>
  </si>
  <si>
    <t>Académie internationale de danse, Académie internationale de danse, Association</t>
  </si>
  <si>
    <t>Diplôme d'Etat de professeur de danse option danse contemporaine</t>
  </si>
  <si>
    <t>Académie internationale de danse, Association de préfiguration du pôle supérieur</t>
  </si>
  <si>
    <t>Diplôme d'État de professeur de danse option danse jazz</t>
  </si>
  <si>
    <t>Académie internationale de danse, Association pour la danse, l'art et la créatio</t>
  </si>
  <si>
    <t>Diplôme d'État de professeur de musique</t>
  </si>
  <si>
    <t>Diplôme d'État de psychomotricien</t>
  </si>
  <si>
    <t>Diplôme d'État d'éducateur de jeunes enfants</t>
  </si>
  <si>
    <t>Diplôme d'Etat d'éducateur spécialisé</t>
  </si>
  <si>
    <t>Ministère de l'éducation nationale, Ministère des affaires sociales et de la san</t>
  </si>
  <si>
    <t>Diplôme d'Etat d'éducateur technique spécialisé</t>
  </si>
  <si>
    <t>Ministère de l'enseignement supérieur et de la recherche, Ministère de la justic</t>
  </si>
  <si>
    <t>Diplôme d'Etat relatif aux fonctions d'animation</t>
  </si>
  <si>
    <t>Direction de la jeunesse, de l'éducation populaire et de la vie associative, Min</t>
  </si>
  <si>
    <t>Dirigeant d'entreprise de sécurité privée</t>
  </si>
  <si>
    <t>JPM Conseil</t>
  </si>
  <si>
    <t>DJ producteur musiques actuelles</t>
  </si>
  <si>
    <t>DJ network</t>
  </si>
  <si>
    <t>DMA art du bijou et du joyau</t>
  </si>
  <si>
    <t>DMA arts de la marionnette</t>
  </si>
  <si>
    <t>DMA arts graphiques option reliure dorure</t>
  </si>
  <si>
    <t>DMA cirque</t>
  </si>
  <si>
    <t>DMA costumier réalisateur</t>
  </si>
  <si>
    <t>DMA décor architectural option B : domaine du décor du mur</t>
  </si>
  <si>
    <t>DMA horlogerie</t>
  </si>
  <si>
    <t>DMA régie de spectacle option lumière</t>
  </si>
  <si>
    <t>DMA régie de spectacle option son</t>
  </si>
  <si>
    <t>Documentaliste spécialisé</t>
  </si>
  <si>
    <t>DTS en imagerie médicale et radiologie thérapeutique</t>
  </si>
  <si>
    <t>DUT carrières juridiques</t>
  </si>
  <si>
    <t>DUT carrières juridiques (dernière session 2014)</t>
  </si>
  <si>
    <t>DUT carrières sociales option animation sociale et socio-culturelle</t>
  </si>
  <si>
    <t>DUT carrières sociales option assistance sociale</t>
  </si>
  <si>
    <t>DUT chimie option chimie</t>
  </si>
  <si>
    <t>DUT chimie option matériaux</t>
  </si>
  <si>
    <t>DUT chimie option productique</t>
  </si>
  <si>
    <t>DUT génie biologique option agronomie (dernière session 2014)</t>
  </si>
  <si>
    <t>DUT génie biologique option analyses biologiques et biochimiques</t>
  </si>
  <si>
    <t>DUT génie biologique option analyses biologiques et biochimiques (dernière session 2014)</t>
  </si>
  <si>
    <t>DUT génie biologique option diététique</t>
  </si>
  <si>
    <t>DUT génie biologique option génie de l'environnement (dernière session 2014)</t>
  </si>
  <si>
    <t>DUT génie biologique option industries alimentaires et biologiques</t>
  </si>
  <si>
    <t>DUT génie chimique, génie des procédés option bio-procédés (dernière session 2014)</t>
  </si>
  <si>
    <t>DUT génie chimique, génie des procédés option procédés (dernière session 2014)</t>
  </si>
  <si>
    <t>DUT génie civil orientation bâtiment</t>
  </si>
  <si>
    <t>DUT génie civil orientation travaux publics et aménagement</t>
  </si>
  <si>
    <t>DUT génie électrique et informatique industrielle (dernière session 2014)</t>
  </si>
  <si>
    <t>DUT génie industriel et maintenance (dernière session 2014)</t>
  </si>
  <si>
    <t>DUT génie mécanique et productique (dernière session 2014)</t>
  </si>
  <si>
    <t>DUT génie thermique et énergie</t>
  </si>
  <si>
    <t>DUT gestion administrative et commerciale</t>
  </si>
  <si>
    <t>DUT gestion des entreprises et des administrations option finances-comptabilité</t>
  </si>
  <si>
    <t>DUT gestion des entreprises et des administrations option gestion comptable et financière</t>
  </si>
  <si>
    <t>DUT gestion des entreprises et des administrations option gestion des ressources humaines</t>
  </si>
  <si>
    <t>DUT gestion des entreprises et des administrations option gestion et management des organisations</t>
  </si>
  <si>
    <t>DUT gestion des entreprises et des administrations option petites et moyennes organisations</t>
  </si>
  <si>
    <t>DUT gestion des entreprises et des administrations option ressources humaines</t>
  </si>
  <si>
    <t>DUT gestion logistique et transport</t>
  </si>
  <si>
    <t>DUT hygiène, sécurité, environnement (dernière session 2014)</t>
  </si>
  <si>
    <t>DUT information-communication option communication des organisations (dernière session 2014)</t>
  </si>
  <si>
    <t>DUT information-communication option gestion de l'information et du document dans les organisations</t>
  </si>
  <si>
    <t>DUT information-communication option journalisme</t>
  </si>
  <si>
    <t>DUT information-communication option publicité (dernière session 2014)</t>
  </si>
  <si>
    <t>DUT mesures physiques</t>
  </si>
  <si>
    <t>DUT réseaux et télécommunications</t>
  </si>
  <si>
    <t>DUT services et réseaux de communication</t>
  </si>
  <si>
    <t>DUT techniques de commercialisation (dernière session 2014)</t>
  </si>
  <si>
    <t>Entrepreneur de la TPE</t>
  </si>
  <si>
    <t>Union des couveuses d'entreprises (UCE)</t>
  </si>
  <si>
    <t>Entrepreneur de petite entreprise</t>
  </si>
  <si>
    <t>Esthéticienne cosméticienne (BM)</t>
  </si>
  <si>
    <t>Gestionnaire de paie (dernière session 2017)</t>
  </si>
  <si>
    <t>Groupe Sciences U - CRESPA Lyon</t>
  </si>
  <si>
    <t>CIEFA Rhône-Alpes</t>
  </si>
  <si>
    <t>Gestionnaire de paie (dernière session 2019)</t>
  </si>
  <si>
    <t>Gestionnaire de paie et de déclarations sociales</t>
  </si>
  <si>
    <t>Institut de gestion et d'études financières (IGEFI)</t>
  </si>
  <si>
    <t>Gestionnaire de projets événementiels</t>
  </si>
  <si>
    <t>Gestionnaire des ressources humaines (dernière session 2019)</t>
  </si>
  <si>
    <t>CEFOP</t>
  </si>
  <si>
    <t>Gestionnaire d'unité commerciale option généraliste</t>
  </si>
  <si>
    <t>Gestionnaire d'unité commerciale option spécialisée</t>
  </si>
  <si>
    <t>Gestionnaire paie et administration du personnel</t>
  </si>
  <si>
    <t>Groupement des professionnels de paie et de gestion - Synopsis paie</t>
  </si>
  <si>
    <t>Graphiste en communication multicanal</t>
  </si>
  <si>
    <t>Graphiste multimédia (dernière session 2019)</t>
  </si>
  <si>
    <t>L'École Multimédia</t>
  </si>
  <si>
    <t>Infographiste</t>
  </si>
  <si>
    <t>Infographiste - Formagraph</t>
  </si>
  <si>
    <t>Formagraph</t>
  </si>
  <si>
    <t>Infographiste 3D (dernière session 2016)</t>
  </si>
  <si>
    <t>Ecole de formation artistique - OBJECTIF 3D</t>
  </si>
  <si>
    <t>Cyrus formations</t>
  </si>
  <si>
    <t>Infographiste chaîne graphique / multimédia</t>
  </si>
  <si>
    <t>Infographiste multimédia (dernière session 2015)</t>
  </si>
  <si>
    <t>AP Formation</t>
  </si>
  <si>
    <t>Infographiste multimédia (dernière session 2017)</t>
  </si>
  <si>
    <t>Ecole supérieure des métiers de l'image</t>
  </si>
  <si>
    <t>Infographiste multimedia (dernière session 2019)</t>
  </si>
  <si>
    <t>ITECOM Art design</t>
  </si>
  <si>
    <t>Installateur de systèmes de génie climatique (BM)</t>
  </si>
  <si>
    <t>Intégrateur de médias interactifs</t>
  </si>
  <si>
    <t>Autograf, Centre de formation aux arts graphiques et au multimédia (CNA-CEFAG)</t>
  </si>
  <si>
    <t>Maquettiste développeur multimédia</t>
  </si>
  <si>
    <t>Centre d'études aux techniques d'expression, de communication et d'information (</t>
  </si>
  <si>
    <t>Maquettiste infographiste (dernière session 2015)</t>
  </si>
  <si>
    <t>Maquettiste infographiste (dernière session 2016)</t>
  </si>
  <si>
    <t>Graphisme et communication</t>
  </si>
  <si>
    <t>Médiathécaire/documentaliste option E-documentaliste</t>
  </si>
  <si>
    <t>Médiathécaire/documentaliste option médiathécaire jeunesse</t>
  </si>
  <si>
    <t>Musicien intervenant</t>
  </si>
  <si>
    <t>Aix-Marseille Université, Université Charles-de-Gaulle Lille 3, Université de St</t>
  </si>
  <si>
    <t>Orthopédiste-orthésiste</t>
  </si>
  <si>
    <t>ECOTEV</t>
  </si>
  <si>
    <t>Pâtissier confiseur glacier traiteur (BM)</t>
  </si>
  <si>
    <t>Peintre décorateur en panoramiques</t>
  </si>
  <si>
    <t>Art et Métier</t>
  </si>
  <si>
    <t>Peintre en décor du patrimoine</t>
  </si>
  <si>
    <t>École d'Avignon</t>
  </si>
  <si>
    <t>Peintre en décor mention techniques anciennes</t>
  </si>
  <si>
    <t>Ecole française du décor peint</t>
  </si>
  <si>
    <t>Peintre en décor, techniques ancestrales et contemporaines</t>
  </si>
  <si>
    <t>École d'art mural de Versailles</t>
  </si>
  <si>
    <t>Rédacteur en marketing opérationnel option web</t>
  </si>
  <si>
    <t>Chambre de commerce et d'industrie de Lille Métropole</t>
  </si>
  <si>
    <t>Régisseur du spectacle</t>
  </si>
  <si>
    <t>Régisseur son du spectacle vivant et de l'événementiel</t>
  </si>
  <si>
    <t>Institut technologique européen des métiers de la musique</t>
  </si>
  <si>
    <t>Régisseur spécialisé de spectacle, option plateau, lumière, son</t>
  </si>
  <si>
    <t>Centre de formation professionnelle aux techniques du spectacle (CFPTS)</t>
  </si>
  <si>
    <t>Régisseur technique du spectacle vivant et de l'événementiel</t>
  </si>
  <si>
    <t>Responsable d'animation en structure d'accueil touristique et de loisirs</t>
  </si>
  <si>
    <t>Chambre de commerce et d'industrie de l'Aveyron</t>
  </si>
  <si>
    <t>Responsable de conduite de cultures protégées</t>
  </si>
  <si>
    <t>Centre méditerranéen de formation aux métiers du maraîchage (CMFMM)</t>
  </si>
  <si>
    <t>Responsable de résidence et service du logement accompagné</t>
  </si>
  <si>
    <t>Centre de formation et de promotion - Institut de formation supérieure de Meslay</t>
  </si>
  <si>
    <t>Responsable de site en habitat social</t>
  </si>
  <si>
    <t>Association pour la formation professionnelle continue des organismes de logemen</t>
  </si>
  <si>
    <t>Secrétaire d'institutions européennes</t>
  </si>
  <si>
    <t>Secrétaire juridique</t>
  </si>
  <si>
    <t>Ecole nationale du droit et procédure personnel des avocats, avoués (ENADEP)</t>
  </si>
  <si>
    <t>Styliste-modéliste - Formamod</t>
  </si>
  <si>
    <t>Formamod</t>
  </si>
  <si>
    <t>Technicien en décor et traitement de surfaces du mobilier</t>
  </si>
  <si>
    <t>Les temps d'art</t>
  </si>
  <si>
    <t>Technicien intégrateur web</t>
  </si>
  <si>
    <t>Buroscope</t>
  </si>
  <si>
    <t>Technicien son (dernière session 2017)</t>
  </si>
  <si>
    <t>Studio M - Lyon</t>
  </si>
  <si>
    <t>Technicien supérieur de maintenance informatique et réseaux</t>
  </si>
  <si>
    <t>Institut pour la promotion de l'enseignement et du conseil</t>
  </si>
  <si>
    <t>Technicien supérieur d'exploitation en génie climatique</t>
  </si>
  <si>
    <t>Lycée Maximilien Perret - groupement d'établissements de formation à l'énergie (</t>
  </si>
  <si>
    <t>Technicien supérieur en pharmacie et cosmétologie industrielles</t>
  </si>
  <si>
    <t>Groupe Institut des Métiers et des Technologies des produits de santé (IMT)</t>
  </si>
  <si>
    <t>Technicien supérieur orthopédiste orthésiste</t>
  </si>
  <si>
    <t>Syndicat national de l'orthopédie française (SNOF)</t>
  </si>
  <si>
    <t>Technicien(ne) d'exploitation des équipements audiovisuels</t>
  </si>
  <si>
    <t>Institut national de l'audiovisuel (INA)</t>
  </si>
  <si>
    <t>Technicien(ne) supérieur(e) du son - musiques actuelles</t>
  </si>
  <si>
    <t>École supérieure des métiers de l'image, du son et du multimédia (EMC)</t>
  </si>
  <si>
    <t>Titre professionnel animateur(trice) de tourisme local</t>
  </si>
  <si>
    <t>Titre professionnel assistant(e) commercial(e)</t>
  </si>
  <si>
    <t>Titre professionnel assistant(e) de direction</t>
  </si>
  <si>
    <t>Titre professionnel assistant(e) import-export (dernière session 2016)</t>
  </si>
  <si>
    <t>Titre professionnel assistant(e) ressources humaines</t>
  </si>
  <si>
    <t>Titre professionnel chargé(e) d'affaires bâtiment (dernière session 2016)</t>
  </si>
  <si>
    <t>Titre professionnel comptable gestionnaire</t>
  </si>
  <si>
    <t>Titre professionnel conducteur(trice) de travaux aménagement finitions</t>
  </si>
  <si>
    <t>Titre professionnel conducteur(trice) de travaux du bâtiment</t>
  </si>
  <si>
    <t>Titre professionnel conducteur(trice) de travaux publics génie civil</t>
  </si>
  <si>
    <t>Titre professionnel conducteur(trice) de travaux publics route, canalisation, terrassement</t>
  </si>
  <si>
    <t>Titre professionnel conseiller(ère) en insertion professionnelle</t>
  </si>
  <si>
    <t>Titre professionnel de chargé d'affaires en rénovation énergétique du bâtiment</t>
  </si>
  <si>
    <t>Titre professionnel dessinateur(trice) projeteur(euse) en béton armé (dernière session 2015)</t>
  </si>
  <si>
    <t>Titre professionnel développeur(euse) logiciel</t>
  </si>
  <si>
    <t>Titre professionnel gestionnaire de paie</t>
  </si>
  <si>
    <t>Titre professionnel gestionnaire de petite ou moyenne structure</t>
  </si>
  <si>
    <t>Titre professionnel infographiste en multimédia</t>
  </si>
  <si>
    <t>Titre professionnel manager(euse) d'univers marchand</t>
  </si>
  <si>
    <t>Titre professionnel négociateur(trice) technico-commercial(e)</t>
  </si>
  <si>
    <t>Titre professionnel responsable d'établissement touristique</t>
  </si>
  <si>
    <t>Titre professionnel superviseur(euse) relations clients à distance</t>
  </si>
  <si>
    <t>Titre professionnel technicien(ne) supérieur(e) de maintenance et d'exploitation en climatique</t>
  </si>
  <si>
    <t>Titre professionnel technicien(ne) supérieur(e) de maintenance industrielle</t>
  </si>
  <si>
    <t>Titre professionnel technicien(ne) supérieur(e) des transports de personnes</t>
  </si>
  <si>
    <t>Titre professionnel technicien(ne) supérieur(e) d'études en construction métallique (dernière session 2015)</t>
  </si>
  <si>
    <t>Titre professionnel technicien(ne) supérieur(e) d'études en génie climatique</t>
  </si>
  <si>
    <t>Titre professionnel technicien(ne) supérieur(e) du bâtiment en économie de la construction</t>
  </si>
  <si>
    <t>Titre professionnel technicien(ne) supérieur(e) en méthodes et exploitation logistique</t>
  </si>
  <si>
    <t>Titre professionnel technicien(ne) supérieur(e) en réseaux informatiques et télécommunications</t>
  </si>
  <si>
    <t>Titre professionnel technicien(ne) supérieur(e) géomètre topographe option entreprise de travaux publics</t>
  </si>
  <si>
    <t>Titre professionnel technicien(ne) supérieur(e) méthodes produit process</t>
  </si>
  <si>
    <t>Traiteur-organisateur de réceptions</t>
  </si>
  <si>
    <t>Ferrandi, l'école française de gastronomie / Chambre de commerce et d'industrie</t>
  </si>
  <si>
    <t>Un des meilleurs ouvriers de France groupe métiers de la communication, du multimédia, de l'audiovisuel option graphisme</t>
  </si>
  <si>
    <t>Un des meilleurs ouvriers de France groupe métiers de la communication, du multimédia, de l'audiovisuel option imagerie numérique</t>
  </si>
  <si>
    <t>Un des meilleurs ouvriers de France groupe métiers de l'agriculture et de l'aménagement du paysage option art floral</t>
  </si>
  <si>
    <t>Un des meilleurs ouvriers de France groupe métiers de l'alimentation option boucherie - étal</t>
  </si>
  <si>
    <t>Un des meilleurs ouvriers de France groupe métiers de l'art des jardins et des fleurs spécialité art des jardins</t>
  </si>
  <si>
    <t>Un des meilleurs ouvriers de France groupe métiers de l'industrie option métiers du service à l'énergie</t>
  </si>
  <si>
    <t>Vendeur(se) conseil en voyages d'affaires et de tourisme</t>
  </si>
  <si>
    <t>Webdesigner / webmaster</t>
  </si>
  <si>
    <t>SCOP Image</t>
  </si>
  <si>
    <t>Webmaster</t>
  </si>
  <si>
    <t>Webmestre</t>
  </si>
  <si>
    <t>Lycée Saliège</t>
  </si>
  <si>
    <t>Niveau IV</t>
  </si>
  <si>
    <t>Agent d'exploitation en hôtellerie et restauration</t>
  </si>
  <si>
    <t>Catalyse SARL Forma</t>
  </si>
  <si>
    <t>Animateur en gérontologie</t>
  </si>
  <si>
    <t>Union nationale des maisons familiales rurales d'éducation et d'orientation (UNM</t>
  </si>
  <si>
    <t>Animateur musical et scénique</t>
  </si>
  <si>
    <t>Union des centres de plein air (UCPA)</t>
  </si>
  <si>
    <t>Animateur polyvalent tourisme loisir</t>
  </si>
  <si>
    <t>L'entrée des artistes</t>
  </si>
  <si>
    <t>Animateur tourisme loisirs</t>
  </si>
  <si>
    <t>École technique privée grand sud formation tourisme</t>
  </si>
  <si>
    <t>Apiculteur</t>
  </si>
  <si>
    <t>Centre de formation professionnelle et de promotion agricole de la Côte Saint An</t>
  </si>
  <si>
    <t>Artiste danseur</t>
  </si>
  <si>
    <t>CFA danse chant comédie</t>
  </si>
  <si>
    <t>Assistant bibliothécaire - public et services en bibliothèque</t>
  </si>
  <si>
    <t>Assistant de comptabilité et d'administration</t>
  </si>
  <si>
    <t>Centre national d'enseignement à distance (CNED), Union professionnelle des prof</t>
  </si>
  <si>
    <t>Assistant en gestion des petites entreprises</t>
  </si>
  <si>
    <t>Assistant son en postproduction et studio d'enregistrement</t>
  </si>
  <si>
    <t>Assistant(e) de dirigeant(e) d'entreprise artisanale (ADEA - BCCEA)</t>
  </si>
  <si>
    <t>Assistant(e) en communication et multimédia</t>
  </si>
  <si>
    <t>Centre de formation aux arts graphiques et au multimédia (CNA-CEFAG)</t>
  </si>
  <si>
    <t>Bac pro accueil - relation clients et usagers</t>
  </si>
  <si>
    <t>Bac pro agroéquipement</t>
  </si>
  <si>
    <t>Ministère de l'agriculture, de l'agroalimentaire et de la forêt, Ministère de l'</t>
  </si>
  <si>
    <t>Bac pro aménagements paysagers</t>
  </si>
  <si>
    <t>Bac pro artisanat et métiers d'art option communication graphique</t>
  </si>
  <si>
    <t>Bac pro artisanat et métiers d'art option communication visuelle pluri-média</t>
  </si>
  <si>
    <t>Bac pro artisanat et métiers d'art option marchandisage visuel</t>
  </si>
  <si>
    <t>Bac pro bio-industries de transformation</t>
  </si>
  <si>
    <t>Bac pro boucher charcutier traiteur</t>
  </si>
  <si>
    <t>Bac pro boulanger pâtissier</t>
  </si>
  <si>
    <t>Bac pro commerce</t>
  </si>
  <si>
    <t>Bac pro commercialisation et services en restauration</t>
  </si>
  <si>
    <t>Bac pro conducteur transport routier marchandises</t>
  </si>
  <si>
    <t>Bac pro conduite et gestion de l'exploitation agricole option systèmes à dominante cultures</t>
  </si>
  <si>
    <t>Bac pro conduite et gestion de l'exploitation agricole option systèmes à dominante élevage</t>
  </si>
  <si>
    <t>Bac pro conduite et gestion de l'exploitation agricole option vigne et vin</t>
  </si>
  <si>
    <t>Bac pro conduite et gestion des entreprises maritimes option commerce</t>
  </si>
  <si>
    <t>Direction des affaires maritimes, Ministère de l'éducation nationale</t>
  </si>
  <si>
    <t>Bac pro conduite et gestion des entreprises maritimes option pêche</t>
  </si>
  <si>
    <t>Bac pro conduite et gestion des entreprises maritimes option plaisance professionnelle</t>
  </si>
  <si>
    <t>Bac pro conduite et gestion d'une entreprise du secteur canin et félin</t>
  </si>
  <si>
    <t>Bac pro cuisine</t>
  </si>
  <si>
    <t>Bac pro électromécanicien marine</t>
  </si>
  <si>
    <t>Bac pro électrotechnique, énergie, équipements communicants - habitat tertiaire</t>
  </si>
  <si>
    <t>Bac pro électrotechnique, énergie, équipements communicants - industriel</t>
  </si>
  <si>
    <t>Bac pro esthétique, cosmétique, parfumerie</t>
  </si>
  <si>
    <t>Bac pro forêt</t>
  </si>
  <si>
    <t>Bac pro gestion des milieux naturels et de la faune</t>
  </si>
  <si>
    <t>Bac pro gestion des pollutions et protection de l'environnement</t>
  </si>
  <si>
    <t>Bac pro gestion-administration</t>
  </si>
  <si>
    <t>Bac pro hygiène, propreté, stérilisation</t>
  </si>
  <si>
    <t>Bac pro industries de procédés</t>
  </si>
  <si>
    <t>Bac pro laboratoire contrôle qualité</t>
  </si>
  <si>
    <t>Bac pro logistique</t>
  </si>
  <si>
    <t>Bac pro maintenance de véhicules automobiles option véhicules industriels</t>
  </si>
  <si>
    <t>Bac pro maintenance des équipements industriels</t>
  </si>
  <si>
    <t>Bac pro maintenance des matériels option A : agricoles</t>
  </si>
  <si>
    <t>Bac pro maintenance des matériels option B : travaux publics et manutention</t>
  </si>
  <si>
    <t>Bac pro maintenance des matériels option C : parcs et jardins</t>
  </si>
  <si>
    <t>Bac pro métiers du cuir option chaussures</t>
  </si>
  <si>
    <t>Bac pro optique lunetterie</t>
  </si>
  <si>
    <t>Bac pro perruquier posticheur</t>
  </si>
  <si>
    <t>Bac pro plastiques et composites</t>
  </si>
  <si>
    <t>Bac pro poissonnier écailler traiteur</t>
  </si>
  <si>
    <t>Bac pro productions aquacoles</t>
  </si>
  <si>
    <t>Bac pro productions horticoles</t>
  </si>
  <si>
    <t>Bac pro sécurité-prévention</t>
  </si>
  <si>
    <t>Bac pro systèmes électroniques numériques spécialité audiovisuel multimédia</t>
  </si>
  <si>
    <t>Bac pro systèmes électroniques numériques spécialité audiovisuel professionnel</t>
  </si>
  <si>
    <t>Bac pro systèmes électroniques numériques spécialité électrodomestique</t>
  </si>
  <si>
    <t>Bac pro systèmes électroniques numériques spécialité électronique industrielle embarquée</t>
  </si>
  <si>
    <t>Bac pro systèmes électroniques numériques spécialité sécurité alarme</t>
  </si>
  <si>
    <t>Bac pro systèmes électroniques numériques spécialité télécommunications et réseaux</t>
  </si>
  <si>
    <t>Bac pro technicien de maintenance des systèmes énergétiques et climatiques</t>
  </si>
  <si>
    <t>Bac pro technicien du froid et du conditionnement de l'air</t>
  </si>
  <si>
    <t>Bac pro technicien d'usinage</t>
  </si>
  <si>
    <t>Bac pro technicien en chaudronnerie industrielle</t>
  </si>
  <si>
    <t>Bac techno hôtellerie</t>
  </si>
  <si>
    <t>Bac techno série sciences et technologies de l'agronomie et du vivant (STAV) spécialité agronomie - alimentation - environnement - territoires aménagements et valorisation des espaces</t>
  </si>
  <si>
    <t>Bac techno série sciences et technologies de l'agronomie et du vivant (STAV) spécialité agronomie - alimentation - environnement - territoires sciences et technologies des équipements</t>
  </si>
  <si>
    <t>Bac techno série sciences et technologies de l'agronomie et du vivant (STAV) spécialité agronomie - alimentation - environnement - territoires services en milieu rural</t>
  </si>
  <si>
    <t>Bac techno série sciences et technologies de l'agronomie et du vivant (STAV) spécialité agronomie - alimentation - environnement - territoires technologies de la production agricole</t>
  </si>
  <si>
    <t>Bac techno série sciences et technologies de l'agronomie et du vivant (STAV) spécialité agronomie - alimentation - environnement - territoires transformation alimentaire</t>
  </si>
  <si>
    <t>Berger vacher transhumant</t>
  </si>
  <si>
    <t>Centre de formation professionnelle et de promotion agricole des Hautes-Pyrénées</t>
  </si>
  <si>
    <t>BMA graphisme et décor option A : graphiste en lettres et décors</t>
  </si>
  <si>
    <t>BMA graphisme et décor option B : décorateur de surfaces et volumes</t>
  </si>
  <si>
    <t>BMA horlogerie</t>
  </si>
  <si>
    <t>BMA spécialité art de la reliure et de la dorure</t>
  </si>
  <si>
    <t>BMA spécialité bijou</t>
  </si>
  <si>
    <t>BMA volumes staff et matériaux associés</t>
  </si>
  <si>
    <t>BP agent technique de prévention et de sécurité</t>
  </si>
  <si>
    <t>BP agent technique de sécurité dans les transports</t>
  </si>
  <si>
    <t>BP assurances</t>
  </si>
  <si>
    <t>BP barman</t>
  </si>
  <si>
    <t>BP boucher</t>
  </si>
  <si>
    <t>BP boulanger</t>
  </si>
  <si>
    <t>BP bureautique</t>
  </si>
  <si>
    <t>BP charcutier-traiteur</t>
  </si>
  <si>
    <t>BP conducteur d'engins de chantier de travaux publics</t>
  </si>
  <si>
    <t>BP cuisinier</t>
  </si>
  <si>
    <t>BP esthétique, cosmétique, parfumerie</t>
  </si>
  <si>
    <t>BP gouvernante</t>
  </si>
  <si>
    <t>BP installateur, dépanneur en froid et conditionnement d'air</t>
  </si>
  <si>
    <t>BP métiers de la piscine</t>
  </si>
  <si>
    <t>BP mise en oeuvre des caoutchoucs et des élastomères thermoplastiques</t>
  </si>
  <si>
    <t>BP option agroéquipement, conduite et maintenance des matériels</t>
  </si>
  <si>
    <t>BP option aménagements paysagers</t>
  </si>
  <si>
    <t>BP option responsable d'atelier de productions horticoles</t>
  </si>
  <si>
    <t>BP option responsable de chantiers forestiers</t>
  </si>
  <si>
    <t>BP option responsable d'exploitation agricole</t>
  </si>
  <si>
    <t>BP option technicien de recherche développement</t>
  </si>
  <si>
    <t>BP plastiques et composites</t>
  </si>
  <si>
    <t>BP préparateur en pharmacie</t>
  </si>
  <si>
    <t>BP restaurant</t>
  </si>
  <si>
    <t>BP sommelier</t>
  </si>
  <si>
    <t>BP techniques de laboratoire de recherche option A : biologie</t>
  </si>
  <si>
    <t>BPJEPS spécialité activités aquatiques et de la natation</t>
  </si>
  <si>
    <t>BPJEPS spécialité activités de randonnées</t>
  </si>
  <si>
    <t>BPJEPS spécialité activités du cirque</t>
  </si>
  <si>
    <t>BPJEPS spécialité activités du cyclisme mention BMX</t>
  </si>
  <si>
    <t>BPJEPS spécialité activités du cyclisme mention cyclisme traditionnel</t>
  </si>
  <si>
    <t>BPJEPS spécialité activités du cyclisme mention VTT</t>
  </si>
  <si>
    <t>BPJEPS spécialité activités gymniques, de la forme et de la force mention activités gymniques acrobatiques</t>
  </si>
  <si>
    <t>BPJEPS spécialité activités gymniques, de la forme et de la force mention activités gymniques d'expression</t>
  </si>
  <si>
    <t>BPJEPS spécialité activités gymniques, de la forme et de la force mention forme en cours collectifs</t>
  </si>
  <si>
    <t>BPJEPS spécialité activités gymniques, de la forme et de la force mention haltère, musculation et forme sur plateau</t>
  </si>
  <si>
    <t>BPJEPS spécialité activités nautiques mention aviron de mer (mention plurivalente groupe A)</t>
  </si>
  <si>
    <t>BPJEPS spécialité activités nautiques mention aviron d'initiation et de découverte (mention plurivalente groupe A)</t>
  </si>
  <si>
    <t>BPJEPS spécialité activités nautiques mention bateau à moteur d'initiation et de découverte (mention plurivalente groupe F)</t>
  </si>
  <si>
    <t>BPJEPS spécialité activités nautiques mention canoë-kayak "eau calme et rivière d'eau vive" (mention plurivalente groupe B)</t>
  </si>
  <si>
    <t>BPJEPS spécialité activités nautiques mention canoë-kayak "eau calme, mer et vague" (mention plurivalente groupe B)</t>
  </si>
  <si>
    <t>BPJEPS spécialité activités nautiques mention char à voile d'initiation et de découverte (mention plurivalente groupe C)</t>
  </si>
  <si>
    <t>BPJEPS spécialité activités nautiques mention croisière côtière (mention plurivalente groupe D)</t>
  </si>
  <si>
    <t>BPJEPS spécialité activités nautiques mention engins tractés (mention plurivalente groupe F)</t>
  </si>
  <si>
    <t>BPJEPS spécialité activités nautiques mention jet (véhicule nautique à moteur) (mention plurivalente groupe F)</t>
  </si>
  <si>
    <t>BPJEPS spécialité activités nautiques mention monovalente aviron et disciplines associées</t>
  </si>
  <si>
    <t>BPJEPS spécialité activités nautiques mention monovalente canoë-kayak</t>
  </si>
  <si>
    <t>BPJEPS spécialité activités nautiques mention monovalente char à voile</t>
  </si>
  <si>
    <t>BPJEPS spécialité activités nautiques mention monovalente glisses aérotractées</t>
  </si>
  <si>
    <t>BPJEPS spécialité activités nautiques mention monovalente motonautisme</t>
  </si>
  <si>
    <t>BPJEPS spécialité activités nautiques mention monovalente ski nautique et disciplines associées</t>
  </si>
  <si>
    <t>BPJEPS spécialité activités nautiques mention monovalente surf</t>
  </si>
  <si>
    <t>BPJEPS spécialité activités nautiques mention monovalente voile</t>
  </si>
  <si>
    <t>BPJEPS spécialité activités nautiques mention multicoques et dériveurs (mention plurivalente groupe D)</t>
  </si>
  <si>
    <t>BPJEPS spécialité activités nautiques mention parachutisme ascensionnel nautique (mention plurivalente groupe G)</t>
  </si>
  <si>
    <t>BPJEPS spécialité activités nautiques mention planche à voile (mention plurivalente groupe D)</t>
  </si>
  <si>
    <t>BPJEPS spécialité activités nautiques mention ski nautique d'initiation et de découverte (mention plurivalente groupe E)</t>
  </si>
  <si>
    <t>BPJEPS spécialité activités physiques pour tous</t>
  </si>
  <si>
    <t>BPJEPS spécialité activités pugilistiques mention boxe</t>
  </si>
  <si>
    <t>BPJEPS spécialité activités pugilistiques mention savate, boxe française</t>
  </si>
  <si>
    <t>BPJEPS spécialité activités pugilistiques mention sports de contact : full-contact, kick-boxing et muaythaï</t>
  </si>
  <si>
    <t>BPJEPS spécialité activités sports collectifs mention basket-ball</t>
  </si>
  <si>
    <t>BPJEPS spécialité activités sports collectifs mention football</t>
  </si>
  <si>
    <t>BPJEPS spécialité activités sports collectifs mention handball</t>
  </si>
  <si>
    <t>BPJEPS spécialité activités sports collectifs mention hockey</t>
  </si>
  <si>
    <t>BPJEPS spécialité activités sports collectifs mention rugby à XIII</t>
  </si>
  <si>
    <t>BPJEPS spécialité activités sports collectifs mention rugby à XV</t>
  </si>
  <si>
    <t>BPJEPS spécialité activités sports collectifs mention volley-ball</t>
  </si>
  <si>
    <t>BPJEPS spécialité animation culturelle</t>
  </si>
  <si>
    <t>BPJEPS spécialité animation sociale</t>
  </si>
  <si>
    <t>BPJEPS spécialité éducation à l'environnement vers un développement durable</t>
  </si>
  <si>
    <t>BPJEPS spécialité golf</t>
  </si>
  <si>
    <t>BPJEPS spécialité loisirs tous publics</t>
  </si>
  <si>
    <t>BPJEPS spécialité lutte et disciplines associées mention grappling</t>
  </si>
  <si>
    <t>BPJEPS spécialité lutte et disciplines associées mention lutte</t>
  </si>
  <si>
    <t>BPJEPS spécialité lutte et disciplines associées mention lutte bretonne (gouren)</t>
  </si>
  <si>
    <t>BPJEPS spécialité lutte et disciplines associées mention sambo</t>
  </si>
  <si>
    <t>BPJEPS spécialité parachutisme mention méthode traditionnelle</t>
  </si>
  <si>
    <t>BPJEPS spécialité parachutisme mention progression accompagnée en chute</t>
  </si>
  <si>
    <t>BPJEPS spécialité parachutisme mention saut en tandem</t>
  </si>
  <si>
    <t>BPJEPS spécialité patinage sur glace</t>
  </si>
  <si>
    <t>BPJEPS spécialité pêche de loisir</t>
  </si>
  <si>
    <t>BPJEPS spécialité plongée subaquatique</t>
  </si>
  <si>
    <t>BPJEPS spécialité sport automobile mention circuit</t>
  </si>
  <si>
    <t>BPJEPS spécialité sport automobile mention karting</t>
  </si>
  <si>
    <t>BPJEPS spécialité sport automobile mention perfectionnement du pilotage</t>
  </si>
  <si>
    <t>BPJEPS spécialité sport automobile mention rallye</t>
  </si>
  <si>
    <t>BPJEPS spécialité sport automobile mention tout-terrain</t>
  </si>
  <si>
    <t>BPJEPS spécialité techniques de l'information et de la communication</t>
  </si>
  <si>
    <t>BPJEPS spécialité vol libre mention deltaplane</t>
  </si>
  <si>
    <t>BPJEPS spécialité vol libre mention parapente</t>
  </si>
  <si>
    <t>BPJEPS spécialité volley-ball et volley-ball de plage (beach-volley)</t>
  </si>
  <si>
    <t>Brevet de capitaine 500</t>
  </si>
  <si>
    <t>Direction des affaires maritimes</t>
  </si>
  <si>
    <t>Certificat de spécialisation arrosage intégré</t>
  </si>
  <si>
    <t>Certificat de spécialisation attelage de loisir</t>
  </si>
  <si>
    <t>Certificat de spécialisation commercialisation des vins</t>
  </si>
  <si>
    <t>Certificat de spécialisation conduite de la production oléicole, transformation et commercialisation</t>
  </si>
  <si>
    <t>Certificat de spécialisation conduite de l'élevage des équidés</t>
  </si>
  <si>
    <t>Certificat de spécialisation conduite de l'élevage laitier</t>
  </si>
  <si>
    <t>Certificat de spécialisation conduite de l'élevage porcin</t>
  </si>
  <si>
    <t>Certificat de spécialisation conduite de productions en agriculture biologique et commercialisation</t>
  </si>
  <si>
    <t>Certificat de spécialisation conduite d'un élevage avicole et commercialisation des produits</t>
  </si>
  <si>
    <t>Certificat de spécialisation conduite d'un élevage caprin et commercialisation des produits</t>
  </si>
  <si>
    <t>Certificat de spécialisation conduite d'un élevage de palmipèdes à foie gras et commercialisation des produits</t>
  </si>
  <si>
    <t>Certificat de spécialisation conduite d'un élevage hélicicole et commercialisation des produits</t>
  </si>
  <si>
    <t>Certificat de spécialisation conduite d'un élevage ovin viande</t>
  </si>
  <si>
    <t>Certificat de spécialisation constructions paysagères</t>
  </si>
  <si>
    <t>Certificat de spécialisation débardage à traction animale</t>
  </si>
  <si>
    <t>Certificat de spécialisation maintenance des terrains de sports et de loisirs</t>
  </si>
  <si>
    <t>Certificat de spécialisation plantes à parfum, aromatiques et médicinales à usage artisanal ou industriel</t>
  </si>
  <si>
    <t>Certificat de spécialisation production cidricole</t>
  </si>
  <si>
    <t>Certificat de spécialisation technicien de cave</t>
  </si>
  <si>
    <t>Certificat de spécialisation technicien spécialisé en transformation laitière</t>
  </si>
  <si>
    <t>Certificat de spécialisation tourisme vert, accueil et animation en milieu rural</t>
  </si>
  <si>
    <t>Certificat de spécialisation transformation des produits carnés</t>
  </si>
  <si>
    <t>Chargé(e) d'accueil de clientèle bancaire</t>
  </si>
  <si>
    <t>Chef cuisine</t>
  </si>
  <si>
    <t>Chambre de commerce et d'industrie de Tarbes et des Hautes-Pyrénées</t>
  </si>
  <si>
    <t>Commis pâtissier</t>
  </si>
  <si>
    <t>Le cordon bleu</t>
  </si>
  <si>
    <t>Conseiller de vente</t>
  </si>
  <si>
    <t>Conseiller(e) services en électrodomestique et multimédia</t>
  </si>
  <si>
    <t>Actif CNT, Réseau Ducretet</t>
  </si>
  <si>
    <t>Conseiller(ère) en communication et image</t>
  </si>
  <si>
    <t>A part être, Expression consulting</t>
  </si>
  <si>
    <t>Conseiller(ère) en image</t>
  </si>
  <si>
    <t>Institut de relooking international</t>
  </si>
  <si>
    <t>Coordinateur du cadre de vie en secteur sanitaire et social</t>
  </si>
  <si>
    <t>CFP - LPP Saint-Ennemond</t>
  </si>
  <si>
    <t>Créateur d'ambiances ludiques artistiques et sportives pour tous publics</t>
  </si>
  <si>
    <t>Cuisinier (dernière session 2017)</t>
  </si>
  <si>
    <t>Cuisinier du terroir</t>
  </si>
  <si>
    <t>Association pour la formation des ruraux aux activités du tourisme (AFRAT)</t>
  </si>
  <si>
    <t>Diplôme d'État de moniteur éducateur</t>
  </si>
  <si>
    <t>Diplôme d'État de technicien de l'intervention sociale et familiale</t>
  </si>
  <si>
    <t>Diplôme national de thanatopracteur</t>
  </si>
  <si>
    <t>Accent-formation, Ecole de formation funéraire - Les Alyscamps, Ecole française</t>
  </si>
  <si>
    <t>Économe gestionnaire de collectivité</t>
  </si>
  <si>
    <t>Établissement public local d'enseignement et de formation professionnelle agrico</t>
  </si>
  <si>
    <t>Éleveur</t>
  </si>
  <si>
    <t>Union nationale rurale d'éducation et de promotion (UNREP)</t>
  </si>
  <si>
    <t>Encadrant d'entreprise artisanale</t>
  </si>
  <si>
    <t>Infographiste Print / Web</t>
  </si>
  <si>
    <t>Jardinier-botaniste</t>
  </si>
  <si>
    <t>Centre de formation professionnelle et de promotion agricole Châteaufarine</t>
  </si>
  <si>
    <t>Maquettiste infographiste multimédia</t>
  </si>
  <si>
    <t>Maquilleur perruquier plasticien</t>
  </si>
  <si>
    <t>MC accueil-réception</t>
  </si>
  <si>
    <t>MC assistance, conseil, vente à distance</t>
  </si>
  <si>
    <t>MC maintenance des installations oléohydrauliques et pneumatiques</t>
  </si>
  <si>
    <t>MC services financiers</t>
  </si>
  <si>
    <t>MC technicien(ne) des services à l'énergie</t>
  </si>
  <si>
    <t>MC vendeur spécialisé en produits techniques pour l'habitat</t>
  </si>
  <si>
    <t>Mécanicien de matériels agricoles (BTM)</t>
  </si>
  <si>
    <t>Modéliste série du vêtement</t>
  </si>
  <si>
    <t>Académie Internationale de Coupe de Paris</t>
  </si>
  <si>
    <t>Musicien interprète des musiques actuelles</t>
  </si>
  <si>
    <t>Fédération nationale des écoles d'influence jazz et musiques actuelles</t>
  </si>
  <si>
    <t>Pâtissier confiseur glacier traiteur (BTM)</t>
  </si>
  <si>
    <t>Peintre décorateur en matiérage</t>
  </si>
  <si>
    <t>Peintre en décors (dernière session 2015)</t>
  </si>
  <si>
    <t>Institut supérieur de peinture décorative - IPEDEC / GPPF</t>
  </si>
  <si>
    <t>Peintre en décors (dernière session 2016)</t>
  </si>
  <si>
    <t>L'atelier des peintres en décors</t>
  </si>
  <si>
    <t>Réceptionniste gouvernant(e)</t>
  </si>
  <si>
    <t>Cours hôtelier - Besançon</t>
  </si>
  <si>
    <t>Réceptionniste polyvalent en hôtellerie</t>
  </si>
  <si>
    <t>Responsable d'accueil</t>
  </si>
  <si>
    <t>Responsable de salle en hôtellerie restauration</t>
  </si>
  <si>
    <t>Responsable d'exploitation apicole</t>
  </si>
  <si>
    <t>Centre de formation professionnelle et de promotion agricole de Venours</t>
  </si>
  <si>
    <t>Restaurateur de vitraux "biens communs"</t>
  </si>
  <si>
    <t>Centre international du vitrail</t>
  </si>
  <si>
    <t>Second d'exploitation serriste</t>
  </si>
  <si>
    <t>Secrétair(e) polyvalente - secrétaire option comptable</t>
  </si>
  <si>
    <t>Secrétaire - assistant(e)</t>
  </si>
  <si>
    <t>Secrétaire médicale (dernière session 2016)</t>
  </si>
  <si>
    <t>MAESTRIS</t>
  </si>
  <si>
    <t>Secrétaire médicale (dernière session 2018)</t>
  </si>
  <si>
    <t>Medi azur santé</t>
  </si>
  <si>
    <t>Soigneur animateur d'établissements zoologiques</t>
  </si>
  <si>
    <t>Technicien agricole</t>
  </si>
  <si>
    <t>Technicien comptable</t>
  </si>
  <si>
    <t>Technicien du son options musique actuelles ou vidéo</t>
  </si>
  <si>
    <t>Institut des métiers de la communication audiovisuelle de Provence, Institut mus</t>
  </si>
  <si>
    <t>Technicien du spectacle</t>
  </si>
  <si>
    <t>ADAMS 3IS - École supérieure des techniques du spectacle et de l'audiovisuel</t>
  </si>
  <si>
    <t>Technicien du spectacle vivant et de l'événementiel, son-lumière-plateau</t>
  </si>
  <si>
    <t>Technicien du spectacle vivant option lumière</t>
  </si>
  <si>
    <t>Spectacle et techniques - Association française de formation</t>
  </si>
  <si>
    <t>Technicien du spectacle vivant option machinerie</t>
  </si>
  <si>
    <t>Technicien du spectacle vivant option son</t>
  </si>
  <si>
    <t>Technicien éclairagiste sonorisateur du tourisme réceptif</t>
  </si>
  <si>
    <t>Technicien en entretien de cours d'eau</t>
  </si>
  <si>
    <t>LA DEFENSE - ARMEE DE TERRE</t>
  </si>
  <si>
    <t>Technicien en pharmacie et cosmétique industrielle</t>
  </si>
  <si>
    <t>Technicien en réhabilitation et amélioration du bâtiment</t>
  </si>
  <si>
    <t>Institut universitaire technologique de Saint-Nazaire</t>
  </si>
  <si>
    <t>Technicien gestionnaire de chantier en entreprise de travaux agricoles</t>
  </si>
  <si>
    <t>Fédération nationale des entrepreneurs des territoires</t>
  </si>
  <si>
    <t>Technicien jardins espaces verts</t>
  </si>
  <si>
    <t>Technicien polyvalent son et lumière</t>
  </si>
  <si>
    <t>Institut de recherche pédagogique audiovisuel</t>
  </si>
  <si>
    <t>Technicien qualité en fruits et légumes</t>
  </si>
  <si>
    <t>Institut méditerranéen des fruits et légumes (IMFL)</t>
  </si>
  <si>
    <t>Technicien son et lumières</t>
  </si>
  <si>
    <t>Music academy international</t>
  </si>
  <si>
    <t>Technicien(ne) d'intervention sur matériels d'assistance respiratoire à domicile</t>
  </si>
  <si>
    <t>Association nationale pour la formation professionnelle des adultes</t>
  </si>
  <si>
    <t>Titre professionnel assistant(e) chef de chantier gros oeuvre</t>
  </si>
  <si>
    <t>Titre professionnel chaudronnier(ière)</t>
  </si>
  <si>
    <t>Titre professionnel chef de chantier travaux publics routes et canalisations</t>
  </si>
  <si>
    <t>Titre professionnel chef d'équipe aménagement finitions</t>
  </si>
  <si>
    <t>Titre professionnel commercial(e)</t>
  </si>
  <si>
    <t>Titre professionnel comptable assistant(e)</t>
  </si>
  <si>
    <t>Titre professionnel conseiller(ère) en séjours et voyages</t>
  </si>
  <si>
    <t>Titre professionnel conseiller(ère) et assistant(e) en technologies de l'information et de la communication</t>
  </si>
  <si>
    <t>Titre professionnel conseiller(ère) relation client à distance</t>
  </si>
  <si>
    <t>Titre professionnel d'accompagnateur(trice) de tourisme</t>
  </si>
  <si>
    <t>Titre professionnel d'animateur(trice) d'activités touristiques et de loisirs</t>
  </si>
  <si>
    <t>Titre professionnel dessinateur(trice) d'ouvrages de métallerie (dernière session 2015)</t>
  </si>
  <si>
    <t>Titre professionnel fabricant(e) de vêtements sur mesure</t>
  </si>
  <si>
    <t>Titre professionnel gouvernant(e) en hôtellerie</t>
  </si>
  <si>
    <t>Titre professionnel horloger(ère)</t>
  </si>
  <si>
    <t>Titre professionnel infographiste metteur(euse) en page</t>
  </si>
  <si>
    <t>Titre professionnel réceptionniste en hôtellerie</t>
  </si>
  <si>
    <t>Titre professionnel responsable de cuisine en restauration collective</t>
  </si>
  <si>
    <t>Titre professionnel restaurateur(trice) de mobilier d'art</t>
  </si>
  <si>
    <t>Titre professionnel secrétaire assistant(e)</t>
  </si>
  <si>
    <t>Titre professionnel secrétaire comptable</t>
  </si>
  <si>
    <t>Titre professionnel technicien(ne) d'atelier en usinage</t>
  </si>
  <si>
    <t>Titre professionnel technicien(ne) de bureau d'études en électricité</t>
  </si>
  <si>
    <t>Titre professionnel technicien(ne) de chantier aménagement-finitions</t>
  </si>
  <si>
    <t>Titre professionnel technicien(ne) de construction et de maintenance de piscines</t>
  </si>
  <si>
    <t>Titre professionnel technicien(ne) de maintenance d'engins et de matériels - machinisme agricole</t>
  </si>
  <si>
    <t>Titre professionnel technicien(ne) de maintenance d'engins et de matériels "travaux publics et manutention"</t>
  </si>
  <si>
    <t>Titre professionnel technicien(ne) de maintenance des équipements thermiques</t>
  </si>
  <si>
    <t>Titre professionnel technicien(ne) de maintenance en chauffage et climatisation</t>
  </si>
  <si>
    <t>Titre professionnel technicien(ne) de maintenance industrielle</t>
  </si>
  <si>
    <t>Titre professionnel technicien(ne) de production en plasturgie</t>
  </si>
  <si>
    <t>Titre professionnel technicien(ne) de réseaux câblés de communications</t>
  </si>
  <si>
    <t>Titre professionnel technicien(ne) d'équipement en électricité</t>
  </si>
  <si>
    <t>Titre professionnel technicien(ne) des matériaux composites</t>
  </si>
  <si>
    <t>Titre professionnel technicien(ne) d'études du bâtiment en dessin de projet</t>
  </si>
  <si>
    <t>Titre professionnel technicien(ne) d'études du bâtiment en économie de la construction</t>
  </si>
  <si>
    <t>Titre professionnel technicien(ne) d'études du bâtiment en étude de prix</t>
  </si>
  <si>
    <t>Titre professionnel technicien(ne) d'études en chaudronnerie et tuyauterie industrielle</t>
  </si>
  <si>
    <t>Titre professionnel technicien(ne) d'intervention en froid commercial et climatisation</t>
  </si>
  <si>
    <t>Titre professionnel technicien(ne) d'intervention en froid et équipements de cuisines professionnelles</t>
  </si>
  <si>
    <t>Titre professionnel technicien(ne) d'intervention en froid industriel</t>
  </si>
  <si>
    <t>Titre professionnel technicien(ne) d'intervention et de maintenance énergétique en conditionnement d'air</t>
  </si>
  <si>
    <t>Titre professionnel technicien(ne) en électricité et automatismes du bâtiment (dernière session 2015)</t>
  </si>
  <si>
    <t>Titre professionnel technicien(ne) en logistique d'entreposage</t>
  </si>
  <si>
    <t>Titre professionnel technicien(ne) en menuiserie et agencement intérieurs</t>
  </si>
  <si>
    <t>Titre professionnel technicien(ne) en systèmes de sécurité incendie</t>
  </si>
  <si>
    <t>Titre professionnel technicien(ne) en systèmes de surveillance-intrusion et de vidéoprotection (dernière session 2015)</t>
  </si>
  <si>
    <t>Titre professionnel technicien(ne) études en construction bois (dernière session 2015)</t>
  </si>
  <si>
    <t>Titre professionnel technicien(ne) image, son et appareils multimédia</t>
  </si>
  <si>
    <t>Titre professionnel technicien(ne) médiation services</t>
  </si>
  <si>
    <t>Titre professionnel technicien(ne) métreur(euse) en réhabilitation de l'habitat</t>
  </si>
  <si>
    <t>Titre professionnel vendeur(se)-conseil en magasin</t>
  </si>
  <si>
    <t>Vendeur conseiller commercial</t>
  </si>
  <si>
    <t>Vendeur-agenceur de cuisines et salles de bains</t>
  </si>
  <si>
    <t>Association pour la formation dans les industries de l'ameublement (AFPIA Sud-es</t>
  </si>
  <si>
    <t>Vitrailliste</t>
  </si>
  <si>
    <t>Niveau V</t>
  </si>
  <si>
    <t>Agent de distribution et de livraison de plis, colis et services</t>
  </si>
  <si>
    <t>Institut de formation par alternance Delorozoy - CCI de Paris</t>
  </si>
  <si>
    <t>Agent de sécurité en sûreté</t>
  </si>
  <si>
    <t>Cabinet S'way</t>
  </si>
  <si>
    <t>Agent des métiers de l'animation touristique</t>
  </si>
  <si>
    <t>LASER</t>
  </si>
  <si>
    <t>Agent polyvalent du tourisme</t>
  </si>
  <si>
    <t>Formation développement novation (FODENO)</t>
  </si>
  <si>
    <t>Agent technique cordiste</t>
  </si>
  <si>
    <t>GRETA Viva 5</t>
  </si>
  <si>
    <t>Agent(e) des services techniques du tourisme</t>
  </si>
  <si>
    <t>Animalier en parc zoologique</t>
  </si>
  <si>
    <t>Institut rural de Carquefou</t>
  </si>
  <si>
    <t>Assistant(e) de vie dépendance</t>
  </si>
  <si>
    <t>IPERIA l'Institut</t>
  </si>
  <si>
    <t>Assistant(e) maternel(le) / garde d'enfants</t>
  </si>
  <si>
    <t>IPERIA l'institut</t>
  </si>
  <si>
    <t>BEP électrotechnique énergie équipements communicants</t>
  </si>
  <si>
    <t>BEP gestion des pollutions et protection de l'environnement</t>
  </si>
  <si>
    <t>BEP maintenance des produits et équipements industriels</t>
  </si>
  <si>
    <t>BEP maintenance des systèmes énergétiques et climatiques</t>
  </si>
  <si>
    <t>BEP métiers des services administratifs</t>
  </si>
  <si>
    <t>BEP plastiques et composites</t>
  </si>
  <si>
    <t>BEP restauration option commercialisation et services en restauration</t>
  </si>
  <si>
    <t>BEP restauration option cuisine</t>
  </si>
  <si>
    <t>BEPA cavalier soigneur</t>
  </si>
  <si>
    <t>BEPA travaux paysagers</t>
  </si>
  <si>
    <t>Berger-vacher d'alpage</t>
  </si>
  <si>
    <t>Centre de formation professionnelle et de promotion agricole (CFPPA) des Savoies</t>
  </si>
  <si>
    <t>Boucher-charcutier-traiteur (CTM)</t>
  </si>
  <si>
    <t>BPA option transformations alimentaires spécialité transformation de produits alimentaires</t>
  </si>
  <si>
    <t>BPA option transformations alimentaires spécialité transformation des viandes</t>
  </si>
  <si>
    <t>BPA option transformations alimentaires spécialité transformation du lait</t>
  </si>
  <si>
    <t>BPA option travaux de conduite et entretien des engins agricoles spécialité conduite et entretien des engins de la production agricole</t>
  </si>
  <si>
    <t>BPA option travaux des aménagements paysagers spécialité travaux de création et d'entretien</t>
  </si>
  <si>
    <t>BPA option travaux des productions horticoles spécialité horticulture ornementale et légumière</t>
  </si>
  <si>
    <t>BPA option travaux forestiers spécialité conduite de machines forestières</t>
  </si>
  <si>
    <t>BPA option travaux forestiers spécialité travaux de bûcheronnage</t>
  </si>
  <si>
    <t>BPA option travaux forestiers spécialité travaux de sylviculture</t>
  </si>
  <si>
    <t>Brevet de capitaine 200</t>
  </si>
  <si>
    <t>CAP accessoiriste réalisateur</t>
  </si>
  <si>
    <t>CAP agent d'accueil et de conduite routière, transport de voyageurs</t>
  </si>
  <si>
    <t>CAP agent de prévention et de médiation</t>
  </si>
  <si>
    <t>CAP agent d'entreposage et de messagerie</t>
  </si>
  <si>
    <t>CAP agent polyvalent de restauration</t>
  </si>
  <si>
    <t>CAP agent vérificateur d'appareils extincteurs</t>
  </si>
  <si>
    <t>CAP art et techniques de la bijouterie-joaillerie option bijouterie-joaillerie</t>
  </si>
  <si>
    <t>CAP art et techniques de la bijouterie-joaillerie option bijouterie-sertissage</t>
  </si>
  <si>
    <t>CAP art et techniques de la bijouterie-joaillerie option polissage finition</t>
  </si>
  <si>
    <t>CAP assistant(e) technique en milieux familial et collectif</t>
  </si>
  <si>
    <t>CAP boucher</t>
  </si>
  <si>
    <t>CAP boulanger (dernière session 2015)</t>
  </si>
  <si>
    <t>CAP charcutier-traiteur</t>
  </si>
  <si>
    <t>CAP chocolatier confiseur</t>
  </si>
  <si>
    <t>CAP composites, plastiques chaudronnés</t>
  </si>
  <si>
    <t>CAP conducteur livreur de marchandises</t>
  </si>
  <si>
    <t>CAP conducteur routier marchandises</t>
  </si>
  <si>
    <t>CAP cuisine</t>
  </si>
  <si>
    <t>CAP décolletage : opérateur régleur en décolletage</t>
  </si>
  <si>
    <t>CAP dessinateur d'exécution en communication graphique</t>
  </si>
  <si>
    <t>CAP emballeur professionnel</t>
  </si>
  <si>
    <t>CAP employé de commerce multi-spécialités</t>
  </si>
  <si>
    <t>CAP employé de vente spécialisé option A : produits alimentaires</t>
  </si>
  <si>
    <t>CAP employé de vente spécialisé option B : produits d'équipement courant</t>
  </si>
  <si>
    <t>CAP employé de vente spécialisé option C : service à la clientèle</t>
  </si>
  <si>
    <t>CAP employé de vente spécialisé option D : produits de libraire-papeterie-presse</t>
  </si>
  <si>
    <t>CAP froid et climatisation</t>
  </si>
  <si>
    <t>CAP gardien d'immeubles</t>
  </si>
  <si>
    <t>CAP horlogerie</t>
  </si>
  <si>
    <t>CAP maintenance de bâtiments de collectivités</t>
  </si>
  <si>
    <t>CAP maintenance des matériels option matériels de parcs et jardins</t>
  </si>
  <si>
    <t>CAP maintenance des matériels option matériels de travaux publics et de manutention</t>
  </si>
  <si>
    <t>CAP maintenance des matériels option tracteurs et matériels agricoles</t>
  </si>
  <si>
    <t>CAP maintenance des véhicules automobiles option véhicules industriels</t>
  </si>
  <si>
    <t>CAP maintenance et hygiène des locaux</t>
  </si>
  <si>
    <t>CAP mareyage</t>
  </si>
  <si>
    <t>CAP maritime matelot</t>
  </si>
  <si>
    <t>CAP mise en oeuvre des caoutchoucs et des élastomères thermoplastiques</t>
  </si>
  <si>
    <t>CAP opérateur des industries du recyclage</t>
  </si>
  <si>
    <t>CAP orfèvre option A : monteur en orfèvrerie</t>
  </si>
  <si>
    <t>CAP orfèvre option B : tourneur-repousseur en orfèvrerie</t>
  </si>
  <si>
    <t>CAP orfèvre option C : polisseur aviveur en orfèvrerie</t>
  </si>
  <si>
    <t>CAP orfèvre option D : planeur en orfèvrerie</t>
  </si>
  <si>
    <t>CAP outillages en moules métalliques</t>
  </si>
  <si>
    <t>CAP pâtissier</t>
  </si>
  <si>
    <t>CAP plasturgie</t>
  </si>
  <si>
    <t>CAP poissonnier</t>
  </si>
  <si>
    <t>CAP restaurant</t>
  </si>
  <si>
    <t>CAP services en brasserie-café</t>
  </si>
  <si>
    <t>CAP services hôteliers</t>
  </si>
  <si>
    <t>CAP staffeur-ornemaniste</t>
  </si>
  <si>
    <t>CAPA agriculture des régions chaudes (dernière session 2016)</t>
  </si>
  <si>
    <t>CAPA entretien de l'espace rural</t>
  </si>
  <si>
    <t>CAPA production agricole, utilisation des matériels spécialité productions animales</t>
  </si>
  <si>
    <t>CAPA production agricole, utilisation des matériels spécialité productions végétales</t>
  </si>
  <si>
    <t>CAPA productions horticoles spécialité pépinières</t>
  </si>
  <si>
    <t>CAPA productions horticoles spécialité productions florales et légumières</t>
  </si>
  <si>
    <t>CAPA productions horticoles spécialité productions fruitières</t>
  </si>
  <si>
    <t>CAPA services en milieu rural</t>
  </si>
  <si>
    <t>CAPA soigneur d'équidés</t>
  </si>
  <si>
    <t>CAPA travaux forestiers spécialité bûcheronnage</t>
  </si>
  <si>
    <t>CAPA travaux forestiers spécialité sylviculture</t>
  </si>
  <si>
    <t>CAPA travaux paysagers</t>
  </si>
  <si>
    <t>CAPA vigne et vin</t>
  </si>
  <si>
    <t>Certificat d'aptitude aux fonctions de cuisinier embarqué</t>
  </si>
  <si>
    <t>Certificat de spécialisation jardinier de golf et entretien des sols sportifs engazonnés</t>
  </si>
  <si>
    <t>Certificat de spécialisation taille et soins des arbres</t>
  </si>
  <si>
    <t>Certificat de spécialisation tracteurs et machines agricoles utilisation et maintenance</t>
  </si>
  <si>
    <t>Certificat de spécialisation utilisateur de chevaux attelés</t>
  </si>
  <si>
    <t>Conducteur accompagnateur de personnes à mobilité réduite</t>
  </si>
  <si>
    <t>Brigitte Croff conseil et associés (BCCA), Conseil National de l'Enseignement Ag</t>
  </si>
  <si>
    <t>Crêpier</t>
  </si>
  <si>
    <t>GRETA des Côtes d'Armor - Trégor-Goëlo</t>
  </si>
  <si>
    <t>Crêpier (CTM)</t>
  </si>
  <si>
    <t>Diplôme d'État d'aide médico-psychologique</t>
  </si>
  <si>
    <t>Diplôme d'État d'aide-soignant</t>
  </si>
  <si>
    <t>Diplôme d'État d'ambulancier</t>
  </si>
  <si>
    <t>Diplôme d'État d'assistant familial</t>
  </si>
  <si>
    <t>Diplôme d'État d'auxiliaire de puériculture</t>
  </si>
  <si>
    <t>Diplôme d'État d'auxiliaire de vie sociale</t>
  </si>
  <si>
    <t>Employé(e) familial(e)</t>
  </si>
  <si>
    <t>Gardien d'immeubles - AFPOLS</t>
  </si>
  <si>
    <t>MC boulangerie spécialisée</t>
  </si>
  <si>
    <t>MC cuisinier en desserts de restaurant</t>
  </si>
  <si>
    <t>MC employé barman</t>
  </si>
  <si>
    <t>MC employé traiteur</t>
  </si>
  <si>
    <t>MC joaillerie</t>
  </si>
  <si>
    <t>MC maintenance en équipement thermique individuel</t>
  </si>
  <si>
    <t>MC pâtisserie boulangère</t>
  </si>
  <si>
    <t>MC réalisation de circuits oléohydrauliques et pneumatiques</t>
  </si>
  <si>
    <t>MC sommellerie</t>
  </si>
  <si>
    <t>MC sûreté des espaces ouverts au public</t>
  </si>
  <si>
    <t>MC vendeur spécialisé en alimentation</t>
  </si>
  <si>
    <t>Opérateur technique en pharmacie et cosmétique industrielle - OTPCI</t>
  </si>
  <si>
    <t>option travaux publics</t>
  </si>
  <si>
    <t>Pizzaïolo / pizzaïola</t>
  </si>
  <si>
    <t>Institut de la cuisine italienne - École française de pizzaïolo</t>
  </si>
  <si>
    <t>Préparateur(trice) vendeur(se) option boucherie (CTM)</t>
  </si>
  <si>
    <t>Préparateur(trice) vendeur(se) option charcuterie-traiteur (CTM)</t>
  </si>
  <si>
    <t>Surveillant(e) - visiteur(e) de nuit en secteur social et médico-social</t>
  </si>
  <si>
    <t>Technicien d'accueil polyvalent de tourisme local</t>
  </si>
  <si>
    <t>Titre professionnel agent(e) administratif(ve)</t>
  </si>
  <si>
    <t>Titre professionnel agent(e) commercial(e) et de conduite du transport routier urbain de voyageurs</t>
  </si>
  <si>
    <t>Titre professionnel agent(e) d'accueil touristique</t>
  </si>
  <si>
    <t>Titre professionnel agent(e) de loisirs</t>
  </si>
  <si>
    <t>Titre professionnel agent(e) de maintenance en chauffage</t>
  </si>
  <si>
    <t>Titre professionnel agent(e) de maintenance et d'exploitation en conditionnement d'air</t>
  </si>
  <si>
    <t>Titre professionnel agent(e) de médiation information services</t>
  </si>
  <si>
    <t>Titre professionnel agent(e) de propreté et d'hygiène</t>
  </si>
  <si>
    <t>Titre professionnel agent(e) de restauration</t>
  </si>
  <si>
    <t>Titre professionnel agent(e) de sûreté et de sécurité privée</t>
  </si>
  <si>
    <t>Titre professionnel agent(e) d'entretien du bâtiment</t>
  </si>
  <si>
    <t>Titre professionnel agent(e) d'hôtellerie</t>
  </si>
  <si>
    <t>Titre professionnel agent(e) magasinier(ière)</t>
  </si>
  <si>
    <t>Titre professionnel canalisateur(trice)</t>
  </si>
  <si>
    <t>Titre professionnel cariste d'entrepôt (dernière session 2015)</t>
  </si>
  <si>
    <t>Titre professionnel cariste d'entrepôt (dernière session 2020)</t>
  </si>
  <si>
    <t>Titre professionnel carreleur(euse)</t>
  </si>
  <si>
    <t>Titre professionnel charpentier(ière) bois</t>
  </si>
  <si>
    <t>Titre professionnel coffreur(euse) bancheur(euse) option bâtiment</t>
  </si>
  <si>
    <t>Titre professionnel conducteur(trice) de bouteur et de chargeuse</t>
  </si>
  <si>
    <t>Titre professionnel conducteur(trice) de grue à tour</t>
  </si>
  <si>
    <t>Titre professionnel conducteur(trice) de machines de plasturgie</t>
  </si>
  <si>
    <t>Titre professionnel conducteur(trice) de pelle hydraulique et de chargeuse pelleteuse</t>
  </si>
  <si>
    <t>Titre professionnel conducteur(trice) d'installations et de machines automatisées</t>
  </si>
  <si>
    <t>Titre professionnel conducteur(trice) du transport routier de marchandises sur porteur</t>
  </si>
  <si>
    <t>Titre professionnel conducteur(trice) du transport routier de marchandises sur tous véhicules</t>
  </si>
  <si>
    <t>Titre professionnel conducteur(trice) du transport routier interurbain de voyageurs</t>
  </si>
  <si>
    <t>Titre professionnel conducteur(trice) livreur(euse) sur véhicule utilitaire léger</t>
  </si>
  <si>
    <t>Titre professionnel constructeur(trice) professionnel(le) en voirie et réseaux</t>
  </si>
  <si>
    <t>Titre professionnel cordonnier(ière) multiservices</t>
  </si>
  <si>
    <t>Titre professionnel couvreur(se)-zingueur(se)</t>
  </si>
  <si>
    <t>Titre professionnel cuisinier(ière)</t>
  </si>
  <si>
    <t>Titre professionnel d'agent(e) horloger(ère) en montage et entretien</t>
  </si>
  <si>
    <t>Titre professionnel de scaphandrier travaux publics</t>
  </si>
  <si>
    <t>Titre professionnel électricien(ne) de maintenance de systèmes automatisés</t>
  </si>
  <si>
    <t>Titre professionnel électricien(ne) d'équipement</t>
  </si>
  <si>
    <t>Titre professionnel électromécanicien(ne) de maintenance industrielle</t>
  </si>
  <si>
    <t>Titre professionnel employé(e) administratif(ve) et d'accueil</t>
  </si>
  <si>
    <t>Titre professionnel employé(e) commercial(e) en magasin</t>
  </si>
  <si>
    <t>Titre professionnel façadier(ière)-peintre</t>
  </si>
  <si>
    <t>Titre professionnel fraiseur(euse) sur machines conventionnelles et à commande numérique</t>
  </si>
  <si>
    <t>Titre professionnel installateur(trice) antenniste</t>
  </si>
  <si>
    <t>Titre professionnel installateur(trice) de réseaux câblés de communications</t>
  </si>
  <si>
    <t>Titre professionnel installateur(trice) en chauffage, climatisation, sanitaire et énergies renouvelables</t>
  </si>
  <si>
    <t>Titre professionnel installateur(trice) en thermique et sanitaire</t>
  </si>
  <si>
    <t>Titre professionnel maçon(ne)</t>
  </si>
  <si>
    <t>Titre professionnel maçon(ne) du bâti ancien</t>
  </si>
  <si>
    <t>Titre professionnel mécanicien(ne) réparateur(trice) de matériels agricoles et d'espaces verts option parcs et jardins</t>
  </si>
  <si>
    <t>Titre professionnel mécanicien(ne) réparateur(trice) d'engins et de matériels</t>
  </si>
  <si>
    <t>Titre professionnel mécanicien(ne) réparateur(trice) d'engins et de matériels  option manutention</t>
  </si>
  <si>
    <t>Titre professionnel menuisier aluminium, option pose d'ouvrages, option miroiterie</t>
  </si>
  <si>
    <t>Titre professionnel menuisier(ière) d'agencement</t>
  </si>
  <si>
    <t>Titre professionnel menuisier(ière) de fabrication bâtiment ameublement</t>
  </si>
  <si>
    <t>Titre professionnel métallier(ière)</t>
  </si>
  <si>
    <t>Titre professionnel métreur(euse)</t>
  </si>
  <si>
    <t>Titre professionnel monteur(euse) de réseaux électriques aéro-souterrains</t>
  </si>
  <si>
    <t>Titre professionnel monteur(euse) dépanneur(euse) frigoriste</t>
  </si>
  <si>
    <t>Titre professionnel monteur(euse) en construction bois</t>
  </si>
  <si>
    <t>Titre professionnel monteur(euse) levageur(euse)</t>
  </si>
  <si>
    <t>Titre professionnel monteur(euse) qualifié(e) d'équipements industriels</t>
  </si>
  <si>
    <t>Titre professionnel monteur(euse)-dépanneur(euse) en climatisation</t>
  </si>
  <si>
    <t>Titre professionnel opérateur(trice) composites hautes performances</t>
  </si>
  <si>
    <t>Titre professionnel opérateur(trice) régleur(euse) en usinage</t>
  </si>
  <si>
    <t>Titre professionnel ouvrier(ière) de production horticole ornementale</t>
  </si>
  <si>
    <t>Titre professionnel ouvrier(ière) du paysage</t>
  </si>
  <si>
    <t>Titre professionnel peintre en bâtiment</t>
  </si>
  <si>
    <t>Titre professionnel peintre en décors</t>
  </si>
  <si>
    <t>Titre professionnel plaquiste</t>
  </si>
  <si>
    <t>Titre professionnel plâtrier(ière)</t>
  </si>
  <si>
    <t>Titre professionnel poseur(euse) de menuiseries et d'aménagements intérieurs</t>
  </si>
  <si>
    <t>Titre professionnel poseur(euse) installateur(trice) menuiseries, fermetures et équipements</t>
  </si>
  <si>
    <t>Titre professionnel préparateur(trice) de commandes en entrepôt (dernière session 2015)</t>
  </si>
  <si>
    <t>Titre professionnel sellier(ière) garnisseur(euse)</t>
  </si>
  <si>
    <t>Titre professionnel sellier(ière) harnacheur(euse)</t>
  </si>
  <si>
    <t>Titre professionnel serveur(se) en restauration</t>
  </si>
  <si>
    <t>Titre professionnel solier(ière) moquettiste</t>
  </si>
  <si>
    <t>Titre professionnel soudeur(euse) (dernière session 2015)</t>
  </si>
  <si>
    <t>Titre professionnel soudeur(euse) (dernière session 2020)</t>
  </si>
  <si>
    <t>Titre professionnel stratifieur(euse) multiprocédés en matériaux composites</t>
  </si>
  <si>
    <t>Titre professionnel tailleur(euse) de pierre</t>
  </si>
  <si>
    <t>Titre professionnel tourneur(euse) sur machines conventionnelles et à commande numérique</t>
  </si>
  <si>
    <t>Titre professionnel tuyauteur(euse) industriel(le)</t>
  </si>
  <si>
    <t>Vendeur en boulangerie-pâtisserie (CTM)</t>
  </si>
  <si>
    <t>Sans niveau</t>
  </si>
  <si>
    <t>Brevet informatique et Internet pour adultes (B2I adultes)</t>
  </si>
  <si>
    <t>BULATS (Business Language Testing Service)</t>
  </si>
  <si>
    <t>University of Cambridge</t>
  </si>
  <si>
    <t>Certificat de capacité à intégrer l'éveil culturel et artistique des enfants à sa pratique professionnelle</t>
  </si>
  <si>
    <t>Enfance et musique</t>
  </si>
  <si>
    <t>Certificat de capacité à la conception et à la mise en uvre d'un atelier d'éveil culturel et artistique pour enfants</t>
  </si>
  <si>
    <t>Certificat IFORMAP de compétence en marchés publics</t>
  </si>
  <si>
    <t>Certification / formation professionnelle à l'anglais GYMGLISH</t>
  </si>
  <si>
    <t>CQP agent de cuisine</t>
  </si>
  <si>
    <t>CPNE des espaces de loisirs d'attractions et culturels</t>
  </si>
  <si>
    <t>CQP agent de maintenance de matériels de manutention</t>
  </si>
  <si>
    <t>CPNE entreprises de commerce, de location et de réparation de tracteurs, machine</t>
  </si>
  <si>
    <t>CQP agent de maintenance des matériels - option injection, hydraulique, électricité</t>
  </si>
  <si>
    <t>CQP agent de maintenance des matériels de travaux publics</t>
  </si>
  <si>
    <t>CQP agent de prévention et de sécurité - commerce à prédominance alimentaire</t>
  </si>
  <si>
    <t>CPNE du commerce de détail et de gros à prédominance alimentaire</t>
  </si>
  <si>
    <t>CQP agent de prévention et de sécurité - dirigeants</t>
  </si>
  <si>
    <t>CPNE des entreprises de prévention et sécurité</t>
  </si>
  <si>
    <t>CQP agent de prévention et de sécurité - salariés</t>
  </si>
  <si>
    <t>CQP agent de restauration</t>
  </si>
  <si>
    <t>Association pour le Développement de l'Emploi et de la Formation dans l'Industri</t>
  </si>
  <si>
    <t>CQP agent de sécurité cynophile</t>
  </si>
  <si>
    <t>CQP agent de sécurité de l'événementiel</t>
  </si>
  <si>
    <t>Conseil national des employeurs associatifs (CNEA), Conseil social du mouvement</t>
  </si>
  <si>
    <t>CQP agent de sécurité en établissement de nuit, d'événementiels ou HCR (hôtels, cafés, restaurants)</t>
  </si>
  <si>
    <t>CQP agent de service de remplacement</t>
  </si>
  <si>
    <t>Fédération nationale des syndicats d'exploitants agricoles (FNSEA)</t>
  </si>
  <si>
    <t>CQP agent de sûreté aéroportuaire mention fret</t>
  </si>
  <si>
    <t>CQP agent de sûreté aéroportuaire mention généraliste</t>
  </si>
  <si>
    <t>CQP agent de sûreté aéroportuaire mention passagers</t>
  </si>
  <si>
    <t>CQP agent d'exploitation d'équipements de génie climatique</t>
  </si>
  <si>
    <t>Fédération des services énergie environnement (FEDENE)</t>
  </si>
  <si>
    <t>CQP agent thermal</t>
  </si>
  <si>
    <t>Conseil national des exploitants thermaux (CNETh)</t>
  </si>
  <si>
    <t>CQP animateur d'athlétisme option athlé loisirs</t>
  </si>
  <si>
    <t>Fédération française d'athlétisme</t>
  </si>
  <si>
    <t>CQP animateur d'athlétisme option école d'athlé</t>
  </si>
  <si>
    <t>CQP animateur de badminton</t>
  </si>
  <si>
    <t>Fédération française de badminton (FFBaD)</t>
  </si>
  <si>
    <t>CQP animateur de loisir sportif option activités de randonnée de proximité et d'orientation</t>
  </si>
  <si>
    <t>Fédération française d'éducation physique et de gymnastique volontaire, Fédérati</t>
  </si>
  <si>
    <t>CQP animateur de loisir sportif option activités gymniques d'entretien et d'expression</t>
  </si>
  <si>
    <t>CQP animateur de loisir sportif option jeux sportifs et jeux d'opposition</t>
  </si>
  <si>
    <t>CQP animateur de patinoire option hockey sur glace</t>
  </si>
  <si>
    <t>Fédération française de hockey sur glace</t>
  </si>
  <si>
    <t>CQP animateur de savate</t>
  </si>
  <si>
    <t>Fédération française de savate, boxe française et disciplines associées (FFSBF D</t>
  </si>
  <si>
    <t>CQP animateur de tennis de table</t>
  </si>
  <si>
    <t>CPNE du sport, Fédération française de tennis de table (FFTT)</t>
  </si>
  <si>
    <t>CQP animateur des activités gymniques</t>
  </si>
  <si>
    <t>Fédération française de gymnastique</t>
  </si>
  <si>
    <t>CQP animateur périscolaire</t>
  </si>
  <si>
    <t>CPNE de l'animation</t>
  </si>
  <si>
    <t>CQP animateur radio</t>
  </si>
  <si>
    <t>CQP animateur tir à l'arc</t>
  </si>
  <si>
    <t>Fédération française de tir à l'arc (FFTA)</t>
  </si>
  <si>
    <t>CQP applicateur d'asphaltes</t>
  </si>
  <si>
    <t>CPNE des bâtiment et travaux publics</t>
  </si>
  <si>
    <t>CQP applicateur de revêtements routiers option enduits superficiels</t>
  </si>
  <si>
    <t>Union des syndicats de l'industrie routière française (USIRF)</t>
  </si>
  <si>
    <t>CQP applicateur de revêtements routiers option enrobés</t>
  </si>
  <si>
    <t>CQP applicateur de traitements curatifs des bois en oeuvre et des constructions</t>
  </si>
  <si>
    <t>CQP applicateur en prestations de signalisation routière horizontale</t>
  </si>
  <si>
    <t>CQP assembleur monteur de menuiseries extérieures - Plasturgie</t>
  </si>
  <si>
    <t>Fédération de la plasturgie et des composites</t>
  </si>
  <si>
    <t>CQP assistant concepteur en ingénierie de restauration (dernière session 2017)</t>
  </si>
  <si>
    <t>Fédération CINOV</t>
  </si>
  <si>
    <t>CQP assistant conducteur d'affaires</t>
  </si>
  <si>
    <t>CQP assistant de gestion d'entreprise du BTP</t>
  </si>
  <si>
    <t>CQP assistant d'exploitation spécialisations restauration et hébergement</t>
  </si>
  <si>
    <t>CQP assistant moniteur char à voile</t>
  </si>
  <si>
    <t>Fédération française de char à voile (FFCV)</t>
  </si>
  <si>
    <t>CQP assistant moniteur de tennis</t>
  </si>
  <si>
    <t>Fédération française de tennis (FFT)</t>
  </si>
  <si>
    <t>CQP assistant moniteur de voile</t>
  </si>
  <si>
    <t>Fédération francaise de voile</t>
  </si>
  <si>
    <t>CQP assistant moniteur motonautique</t>
  </si>
  <si>
    <t>Fédération française motonautique</t>
  </si>
  <si>
    <t>CQP assistant technicien de chantier en couverture et/ou plomberie</t>
  </si>
  <si>
    <t>CQP attaché technico-commercial en négoce des matériaux de construction</t>
  </si>
  <si>
    <t>Fédération du négoce de bois et des matériaux de construction (FNBM)</t>
  </si>
  <si>
    <t>CQP bardeur</t>
  </si>
  <si>
    <t>CQP barman du monde de la nuit</t>
  </si>
  <si>
    <t>CQP batteur de profilés métalliques</t>
  </si>
  <si>
    <t>CQP boutefeu</t>
  </si>
  <si>
    <t>CQP caissier(ère) réassortisseur(se)</t>
  </si>
  <si>
    <t>CPNE du bricolage : vente au détail en libre-service</t>
  </si>
  <si>
    <t>CQP chargé d'affaire junior en métallerie</t>
  </si>
  <si>
    <t>CQP chargé(e) de clientèle</t>
  </si>
  <si>
    <t>Chambre syndicale des courtiers d'assurances (CSCA)</t>
  </si>
  <si>
    <t>CQP chargé(e) de relation clientèle assurance</t>
  </si>
  <si>
    <t>Fédération française des sociétés d'assurances (FFSA), Groupement des entreprise</t>
  </si>
  <si>
    <t>CQP chaudronnier plastique - Plasturgie</t>
  </si>
  <si>
    <t>CQP chauffeur-livreur - Négoce des matériaux de construction</t>
  </si>
  <si>
    <t>CPNE du négoce des matériaux de construction</t>
  </si>
  <si>
    <t>CQP chef applicateur en prestations de signalisation routière horizontale</t>
  </si>
  <si>
    <t>CQP chef d'agence en négoce de matériaux de construction</t>
  </si>
  <si>
    <t>CQP chef de chantier génie climatique et sanitaire</t>
  </si>
  <si>
    <t>CQP chef de cuisine en restauration de collectivité</t>
  </si>
  <si>
    <t>OPCA Fafih</t>
  </si>
  <si>
    <t>CQP chef de magasin</t>
  </si>
  <si>
    <t>CQP chef de secteur</t>
  </si>
  <si>
    <t>CQP chef gérant</t>
  </si>
  <si>
    <t>CQP commerce des armes et munitions</t>
  </si>
  <si>
    <t>Fédération professionnelle des métiers de l'arme et de la munition de chasse et</t>
  </si>
  <si>
    <t>CQP commis de cuisine</t>
  </si>
  <si>
    <t>CQP compagnon canalisateur option adduction d'eau potable</t>
  </si>
  <si>
    <t>CQP compagnon canalisateur option assainissement</t>
  </si>
  <si>
    <t>CQP compagnon canalisateur option maintenance et entretien des canalisations et branchements AEP</t>
  </si>
  <si>
    <t>CQP compagnon monteur en isolation thermique industrielle</t>
  </si>
  <si>
    <t>CQP compagnon professionnel en pierre sèche</t>
  </si>
  <si>
    <t>CQP compagnon professionnel maçon du patrimoine</t>
  </si>
  <si>
    <t>CQP concepteur intégrateur en efficacité énergétique</t>
  </si>
  <si>
    <t>CQP conducteur de travaux en menuiserie de bâtiment et agencement</t>
  </si>
  <si>
    <t>CQP conducteur d'équipement de fabrication - Plasturgie</t>
  </si>
  <si>
    <t>CQP conseiller protection sociale</t>
  </si>
  <si>
    <t>CPNE des institutions de retraite complémentaire et de prévoyance</t>
  </si>
  <si>
    <t>CQP conseiller retraite</t>
  </si>
  <si>
    <t>Centre de formation et des expertises métiers GIE AGIRC ARRCO</t>
  </si>
  <si>
    <t>CQP constructeur en voirie urbaine et réseaux</t>
  </si>
  <si>
    <t>CQP coordinateur de ligne ou d'îlot - Plasturgie</t>
  </si>
  <si>
    <t>CQP cordiste expert niveau 3</t>
  </si>
  <si>
    <t>CQP coupeur(se) chaussure</t>
  </si>
  <si>
    <t>Fédération française de la chaussure (FFC)</t>
  </si>
  <si>
    <t>CQP créatif multimédia</t>
  </si>
  <si>
    <t>CPNE des entreprises de publicité et assimilées</t>
  </si>
  <si>
    <t>CQP crêpier(e)</t>
  </si>
  <si>
    <t>CQP croupier de casinos</t>
  </si>
  <si>
    <t>CQP cuisinier</t>
  </si>
  <si>
    <t>CQP éditeur numérique</t>
  </si>
  <si>
    <t>CPNE de l'édition</t>
  </si>
  <si>
    <t>CQP éducateur grimpe d'arbres</t>
  </si>
  <si>
    <t>Syndicat national des grimpeurs encadrants dans les arbres (SNGEA)</t>
  </si>
  <si>
    <t>CQP électricien-monteur installateur en courants faibles</t>
  </si>
  <si>
    <t>CQP employé de vente du commerce alimentaire de détail</t>
  </si>
  <si>
    <t>Association des fédérations en fruits et légumes, épicerie, crèmerie</t>
  </si>
  <si>
    <t>CQP employé(e) de restauration rapide</t>
  </si>
  <si>
    <t>CQP employé(e) d'étages</t>
  </si>
  <si>
    <t>CQP employé(e) qualifié(e) de restauration</t>
  </si>
  <si>
    <t>CQP employé(e) SAV</t>
  </si>
  <si>
    <t>CQP employé(e) technique de restauration</t>
  </si>
  <si>
    <t>CQP enduiseur façadier</t>
  </si>
  <si>
    <t>CQP étancheur - béton / bitumineux</t>
  </si>
  <si>
    <t>CQP exploitant en restauration</t>
  </si>
  <si>
    <t>CQP façadier iteiste</t>
  </si>
  <si>
    <t>CQP foreur d'eau</t>
  </si>
  <si>
    <t>CQP foreur option forages destructifs</t>
  </si>
  <si>
    <t>CQP gestionnaire assurances de personnes</t>
  </si>
  <si>
    <t>CQP gestionnaire de sinistre incendie, accident risques divers (IARD)</t>
  </si>
  <si>
    <t>CQP gestionnaire production incendie, accident risques divers (IARD)</t>
  </si>
  <si>
    <t>CQP gouvernant(e) d'hôtel</t>
  </si>
  <si>
    <t>CQP gouvernant(e) d'hôtel spécialisation établissement de santé</t>
  </si>
  <si>
    <t>CQP grilladin(e)</t>
  </si>
  <si>
    <t>CQP guide de véhicules terrestres motorisés à guidon option moto verte</t>
  </si>
  <si>
    <t>Fédération française de motocyclisme (FFM)</t>
  </si>
  <si>
    <t>CQP guide de véhicules terrestres motorisés à guidon option quad</t>
  </si>
  <si>
    <t>CQP horloger rhabilleur</t>
  </si>
  <si>
    <t>CPNE de l'horlogerie - commerce de gros, pièces détachées, accessoires et outill</t>
  </si>
  <si>
    <t>CQP horloger spécialisation montres à complications</t>
  </si>
  <si>
    <t>CQP initiateur en motocyclisme</t>
  </si>
  <si>
    <t>CQP installateur de panneaux solaires thermiques et photovoltaïques en couverture</t>
  </si>
  <si>
    <t>CQP installateur mainteneur de pompe à chaleur</t>
  </si>
  <si>
    <t>CQP installateur mainteneur de systèmes de ventilation</t>
  </si>
  <si>
    <t>CQP installateur-mainteneur de système de désenfumage</t>
  </si>
  <si>
    <t>CQP installateur-mainteneur en systèmes solaires thermiques et photovoltaïques</t>
  </si>
  <si>
    <t>CQP limonadier(e)</t>
  </si>
  <si>
    <t>CQP magasinier / vendeur en pièces de rechange et équipement des matériels de parcs et  jardins</t>
  </si>
  <si>
    <t>CQP magasinier en négoce des matériaux de construction</t>
  </si>
  <si>
    <t>CQP maître boutefeu</t>
  </si>
  <si>
    <t>CQP maître d'hôtel</t>
  </si>
  <si>
    <t>CQP manager d'équipe - Négoce du bois</t>
  </si>
  <si>
    <t>CPNE du négoce de bois d'oeuvre et produits dérivés</t>
  </si>
  <si>
    <t>CQP manager d'unité commerciale du commerce alimentaire de détail</t>
  </si>
  <si>
    <t>CQP maquilleur conseil animateur</t>
  </si>
  <si>
    <t>Confédération nationale artisanale des instituts de beauté, Fédération internati</t>
  </si>
  <si>
    <t>CQP moniteur d'arts martiaux</t>
  </si>
  <si>
    <t>Confédération française des arts martiaux et sport de combat</t>
  </si>
  <si>
    <t>CQP moniteur d'aviron</t>
  </si>
  <si>
    <t>Fédération française des sociétés d'aviron (FFSA)</t>
  </si>
  <si>
    <t>CQP moniteur de canoë-kayak option canoë-kayak en eau calme - eau vive</t>
  </si>
  <si>
    <t>Fédération française de canoë-kayak</t>
  </si>
  <si>
    <t>CQP moniteur de canoë-kayak option canoë-kayak en eau calme - mer</t>
  </si>
  <si>
    <t>CQP moniteur de football américain et de flag</t>
  </si>
  <si>
    <t>Fédération française de football américain (FFFA)</t>
  </si>
  <si>
    <t>CQP moniteur de roller skating</t>
  </si>
  <si>
    <t>Fédération française de roller skating (FFRS)</t>
  </si>
  <si>
    <t>CQP moniteur de rugby à XV</t>
  </si>
  <si>
    <t>Fédération française de rugby (FFR)</t>
  </si>
  <si>
    <t>CQP moniteur de squash</t>
  </si>
  <si>
    <t>CPNE du sport, Fédération française de squash (FFS)</t>
  </si>
  <si>
    <t>CQP moniteur de tir sportif</t>
  </si>
  <si>
    <t>Fédération française de tir (FFtir)</t>
  </si>
  <si>
    <t>CQP moniteur de vol à plat en soufflerie  - qualification complémentaire vol 3D en soufflerie</t>
  </si>
  <si>
    <t>Fédération française de parachutisme (FFP)</t>
  </si>
  <si>
    <t>CQP moniteur d'escrime option artistique</t>
  </si>
  <si>
    <t>Fédération française d'escrime</t>
  </si>
  <si>
    <t>CQP moniteur d'escrime option épée</t>
  </si>
  <si>
    <t>CQP moniteur d'escrime option fleuret</t>
  </si>
  <si>
    <t>CQP moniteur d'escrime option sabre</t>
  </si>
  <si>
    <t>CQP monteur de plafonds modulaires</t>
  </si>
  <si>
    <t>CQP monteur de plateforme suspendue</t>
  </si>
  <si>
    <t>CQP monteur d'échafaudage</t>
  </si>
  <si>
    <t>CQP monteur réparateur d'installation de traite</t>
  </si>
  <si>
    <t>CQP monteur, régleur d'équipement de fabrication - Plasturgie</t>
  </si>
  <si>
    <t>CQP opérateur de parcours acrobatique en hauteur</t>
  </si>
  <si>
    <t>CQP opérateur en 1ère transformation des viandes - Commerce viande</t>
  </si>
  <si>
    <t>CPNE des industries et des commerces en gros des viandes</t>
  </si>
  <si>
    <t>CQP opérateur en 2ème transformation des viandes - Commerce viande</t>
  </si>
  <si>
    <t>CQP opérateur en 3ème transformation des viandes - Commerce viande</t>
  </si>
  <si>
    <t>CQP opérateur en polissage</t>
  </si>
  <si>
    <t>Fédération française de bijouterie, joaillerie, orfèvrerie et cadeaux</t>
  </si>
  <si>
    <t>CQP opérateur en préparation de commandes - Commerce viande</t>
  </si>
  <si>
    <t>CQP opérateur en stabulation des animaux de boucherie - Commerce viande</t>
  </si>
  <si>
    <t>CQP opérateur en traitement des cuirs et peaux - Commerce viande</t>
  </si>
  <si>
    <t>CQP opérateur spécialisé en assemblage, parachèvement, finition - Plasturgie</t>
  </si>
  <si>
    <t>CQP opérateur spécialisé en matériaux composites - Plasturgie</t>
  </si>
  <si>
    <t>CQP opérateur vidéo / photo en parachutisme</t>
  </si>
  <si>
    <t>CQP opérateur vidéo casinos-jeux</t>
  </si>
  <si>
    <t>CQP opérateur(trice) d'attractions</t>
  </si>
  <si>
    <t>CQP opérateur(trice) de fabrication chaussure</t>
  </si>
  <si>
    <t>CQP opérateur/trice de tri manuel</t>
  </si>
  <si>
    <t>CPNE des industrie et commerce de la récupération</t>
  </si>
  <si>
    <t>CQP opérateur/trice de tri mécanisé</t>
  </si>
  <si>
    <t>CQP opticien responsable commercial de magasin d'optique</t>
  </si>
  <si>
    <t>CPNE de l'optique-lunetterie de détail</t>
  </si>
  <si>
    <t>CQP opticien responsable technique de magasin d'optique</t>
  </si>
  <si>
    <t>CQP ouvrier cordiste niveau 1</t>
  </si>
  <si>
    <t>CQP ouvrier cordiste niveau 2</t>
  </si>
  <si>
    <t>CQP ouvrier de protection risques naturels</t>
  </si>
  <si>
    <t>CQP ouvrier monteur en isolation thermique industrielle</t>
  </si>
  <si>
    <t>CQP ouvrier paysagiste hautement qualifié en maîtrise paysagère du végétal</t>
  </si>
  <si>
    <t>CQP ouvrier professionnel couvreur chaumier</t>
  </si>
  <si>
    <t>CQP ouvrier professionnel en pierre sèche</t>
  </si>
  <si>
    <t>CQP ouvrier qualifié de l'exploitation viticole</t>
  </si>
  <si>
    <t>CQP ouvrier qualifié en construction d'ouvrages paysagers</t>
  </si>
  <si>
    <t>CQP ouvrier spécialisé en productions légumières</t>
  </si>
  <si>
    <t>CQP peintre anticorrosion</t>
  </si>
  <si>
    <t>Fédération française du bâtiment</t>
  </si>
  <si>
    <t>CQP piqueur(se) chaussure</t>
  </si>
  <si>
    <t>CQP pizzaïolo</t>
  </si>
  <si>
    <t>CQP plieur de parachute de secours et réparateur</t>
  </si>
  <si>
    <t>CQP plongeur - officier de cuisine</t>
  </si>
  <si>
    <t>CQP poissonnier écailler traiteur en produits de la mer</t>
  </si>
  <si>
    <t>CPNE de la poissonnerie</t>
  </si>
  <si>
    <t>CQP poseur de canalisations option adduction d'eau potable</t>
  </si>
  <si>
    <t>CQP poseur de canalisations option assainissement</t>
  </si>
  <si>
    <t>CQP poseur de voies férrées</t>
  </si>
  <si>
    <t>CQP préparateur en démolition</t>
  </si>
  <si>
    <t>CQP réceptionniste</t>
  </si>
  <si>
    <t>CQP reconnaissance d'aptitude à l'emploi (RECAPE)</t>
  </si>
  <si>
    <t>CQP responsable d'équipe - Plasturgie</t>
  </si>
  <si>
    <t>CQP responsable d'équipe en isolation thermique indusrielle</t>
  </si>
  <si>
    <t>CQP responsable opérationnel - Restauration rapide</t>
  </si>
  <si>
    <t>CPNE de la restauration rapide</t>
  </si>
  <si>
    <t>CQP salarié agricole qualifié en polyculture</t>
  </si>
  <si>
    <t>CQP scaphandrier - agent d'inspection</t>
  </si>
  <si>
    <t>CQP scaphandrier - inspecteur</t>
  </si>
  <si>
    <t>CQP scieur carotteur de béton</t>
  </si>
  <si>
    <t>CQP serveur en restauration, spécialisation sommellerie</t>
  </si>
  <si>
    <t>CQP spa manager</t>
  </si>
  <si>
    <t>CQP spa praticien</t>
  </si>
  <si>
    <t>CQP styliste modéliste chaussure</t>
  </si>
  <si>
    <t>CQP styliste ongulaire</t>
  </si>
  <si>
    <t>CQP technicien boucher</t>
  </si>
  <si>
    <t>CPNE de la boucherie, boucherie-charcuterie et boucherie hippophagique : commerc</t>
  </si>
  <si>
    <t>CQP technicien de piste de karting</t>
  </si>
  <si>
    <t>Fédération françsaie du sport automobile, Union nationale des syndicats autonome</t>
  </si>
  <si>
    <t>CQP technicien de production - Plasturgie</t>
  </si>
  <si>
    <t>CQP technicien d'études et de chantier en couverture et/ou plomberie</t>
  </si>
  <si>
    <t>CQP technicien en maintenance d'engins de travaux publics</t>
  </si>
  <si>
    <t>CQP technicien en maintenance des matériels de manutention</t>
  </si>
  <si>
    <t>CQP technicien service après-vente (SAV) en automatisme d'installation de traite</t>
  </si>
  <si>
    <t>CQP technicien sportif d'athlétisme</t>
  </si>
  <si>
    <t>CQP technicien sportif de basket-ball</t>
  </si>
  <si>
    <t>Fédération française de basket-ball</t>
  </si>
  <si>
    <t>CQP technicien sportif de cheerleading</t>
  </si>
  <si>
    <t>CQP technicien sportif de rugby à XV</t>
  </si>
  <si>
    <t>CQP technicien(ne) de maintenance des matériels agricoles</t>
  </si>
  <si>
    <t>CQP technicien-vendeur en produits sports (maîtrise professionnelle) option maintenance cycle</t>
  </si>
  <si>
    <t>Fédération professionnelle des entreprises du sport et des loisirs (FPS)</t>
  </si>
  <si>
    <t>CQP technicien-vendeur en produits sports (maîtrise professionnelle) option produits running / course à pieds</t>
  </si>
  <si>
    <t>CQP technicien-vendeur en produits sports (maîtrise professionnelle) option produits sports de glisse</t>
  </si>
  <si>
    <t>CQP technicien-vendeur en produits sports (maîtrise professionnelle) option produits sports de raquettes</t>
  </si>
  <si>
    <t>CQP tourier</t>
  </si>
  <si>
    <t>Confédération nationale de la boulangerie et boulangerie-pâtisserie française</t>
  </si>
  <si>
    <t>CQP tripier détaillant</t>
  </si>
  <si>
    <t>CQP vendeur  matériel agroéquipements</t>
  </si>
  <si>
    <t>CQP vendeur / vendeuse conseil en boulangerie-pâtisserie</t>
  </si>
  <si>
    <t>CPNE de la boulangerie-pâtisserie : entreprises artisanales</t>
  </si>
  <si>
    <t>CQP vendeur(euse) en espace de loisirs</t>
  </si>
  <si>
    <t>CQP vendeur(euse) qualifié(e) - Boucherie-charcuterie et boucherie hippophagique de détail</t>
  </si>
  <si>
    <t>CQP vendeur(se) qualifié(e) - Bricolage</t>
  </si>
  <si>
    <t>CQP vendeur-conseil caviste</t>
  </si>
  <si>
    <t>CQP vendeur-conseil en crèmerie fromagerie</t>
  </si>
  <si>
    <t>CQP vendeur-conseil en épicerie</t>
  </si>
  <si>
    <t>CQP vendeur-conseil en négoce des matériaux de construction</t>
  </si>
  <si>
    <t>CQP vendeur-conseil en produits biologiques</t>
  </si>
  <si>
    <t>CQP vendeur-conseil primeur</t>
  </si>
  <si>
    <t>CQP vente conseil à distance - Habillement</t>
  </si>
  <si>
    <t>CPNE des industries de l'habillement</t>
  </si>
  <si>
    <t>CQPM ajusteur outilleur en emboutissage</t>
  </si>
  <si>
    <t>Union des industries et métiers de la métallurgie (UIMM)</t>
  </si>
  <si>
    <t>CQPM ajusteur(euse) monteur(euse) de structures aéronefs</t>
  </si>
  <si>
    <t>CQPM assembleur composites aéronautique</t>
  </si>
  <si>
    <t>CQPM assembleur(euse) monteur(euse) de systèmes mécanisés</t>
  </si>
  <si>
    <t>CQPM chaudronnier d'atelier</t>
  </si>
  <si>
    <t>CQPM chaudronnier polyvalent</t>
  </si>
  <si>
    <t>CQPM chaudronnier(ière) aéronautique</t>
  </si>
  <si>
    <t>CQPM équipier(ère) autonome de production industrielle</t>
  </si>
  <si>
    <t>CQPM fraiseur industriel</t>
  </si>
  <si>
    <t>CQPM hydraulicien - applications stationnaires</t>
  </si>
  <si>
    <t>CQPM mécanicien maintenancier process</t>
  </si>
  <si>
    <t>CQPM mécanicien(ne) en machines tournantes sous pression (installation - maintenance)</t>
  </si>
  <si>
    <t>CQPM mouleur-noyauteur</t>
  </si>
  <si>
    <t>CQPM opérateur de fusion</t>
  </si>
  <si>
    <t>CQPM opérateur polyvalent d'équipe autonome</t>
  </si>
  <si>
    <t>CQPM rectifieur(euse) sur machine cylindrique universelle</t>
  </si>
  <si>
    <t>CQPM soudeur industriel</t>
  </si>
  <si>
    <t>CQPM soudeur(euse)</t>
  </si>
  <si>
    <t>CQPM technicien d'usinage sur machines outils à commande numérique</t>
  </si>
  <si>
    <t>CQPM technicien en conception de systèmes oléohydrauliques</t>
  </si>
  <si>
    <t>CQPM technicien en industrialisation et en amélioration des processus</t>
  </si>
  <si>
    <t>CQPM technicien en maintenance de systèmes oléohydrauliques</t>
  </si>
  <si>
    <t>CQPM technicien préparateur méthodes de fabrication aéronautique et spatiale</t>
  </si>
  <si>
    <t>CQPM technicien(ne) appareils chaudronnés sous pression (réalisation - installation)</t>
  </si>
  <si>
    <t>CQPM technicien(ne) d'atelier en installations automatisées</t>
  </si>
  <si>
    <t>CQPM technicien(ne) de maintenance productive</t>
  </si>
  <si>
    <t>CQPM technicien(ne) en électronique temps réel embarqué</t>
  </si>
  <si>
    <t>CQPM technicien(ne) en machines tournantes sous pression (installation-exploitation-maintenance)</t>
  </si>
  <si>
    <t>CQPM technicien(ne) en maintenance industrielle</t>
  </si>
  <si>
    <t>CQPM technicien-régleur sur machines-outils à commande numérique de décolletage</t>
  </si>
  <si>
    <t>CQPM tourneur industriel</t>
  </si>
  <si>
    <t>CQPM tuyauteur(euse) industriel(le)</t>
  </si>
  <si>
    <t>Diplôme de compétence en langue allemand</t>
  </si>
  <si>
    <t>Diplôme de compétence en langue anglais</t>
  </si>
  <si>
    <t>Diplôme de compétence en langue arabe</t>
  </si>
  <si>
    <t>Diplôme de compétence en langue breton</t>
  </si>
  <si>
    <t>Diplôme de compétence en langue chinois</t>
  </si>
  <si>
    <t>Diplôme de compétence en langue des signes française</t>
  </si>
  <si>
    <t>Diplôme de compétence en langue espagnol</t>
  </si>
  <si>
    <t>Diplôme de compétence en langue étrangère professionnelle allemand</t>
  </si>
  <si>
    <t>Diplôme de compétence en langue étrangère professionnelle anglais</t>
  </si>
  <si>
    <t>Diplôme de compétence en langue étrangère professionnelle arabe</t>
  </si>
  <si>
    <t>Diplôme de compétence en langue étrangère professionnelle chinois</t>
  </si>
  <si>
    <t>Diplôme de compétence en langue étrangère professionnelle espagnol</t>
  </si>
  <si>
    <t>Diplôme de compétence en langue étrangère professionnelle français langue étrangère</t>
  </si>
  <si>
    <t>Diplôme de compétence en langue étrangère professionnelle italien</t>
  </si>
  <si>
    <t>Diplôme de compétence en langue étrangère professionnelle portugais</t>
  </si>
  <si>
    <t>Diplôme de compétence en langue étrangère professionnelle russe</t>
  </si>
  <si>
    <t>Diplôme de compétence en langue français langue étrangère</t>
  </si>
  <si>
    <t>Diplôme de compétence en langue française professionnelle de premier niveau</t>
  </si>
  <si>
    <t>Diplôme de compétence en langue italien</t>
  </si>
  <si>
    <t>Diplôme de compétence en langue occitan</t>
  </si>
  <si>
    <t>Diplôme de compétence en langue portugais</t>
  </si>
  <si>
    <t>Diplôme de compétence en langue régionale</t>
  </si>
  <si>
    <t>Diplôme de compétence en langue russe</t>
  </si>
  <si>
    <t>Diplôme de conseiller funéraire et assimilé</t>
  </si>
  <si>
    <t>Ministère de l'intérieur</t>
  </si>
  <si>
    <t>Diplôme de dirigeant ou gestionnaire d'une entreprise, d'une régie ou d'une association de pompes funèbres</t>
  </si>
  <si>
    <t>Diplôme de maître de cérémonie</t>
  </si>
  <si>
    <t>Formation complémentaire « passerelle » - transport de marchandises</t>
  </si>
  <si>
    <t>MINISTERE DE L'ECOLOGIE, DU DEVELOPPEMENT ET DE L'AMENAGEMENT DURABLES</t>
  </si>
  <si>
    <t>Formation complémentaire « passerelle » - transport de voyageurs</t>
  </si>
  <si>
    <t>Formation initiale minimale obligatoire (FIMO) - transport de marchandises</t>
  </si>
  <si>
    <t>Direction générale des infrastructures, des transports et de la mer</t>
  </si>
  <si>
    <t>Formation initiale minimale obligatoire (FIMO) - transport de voyageurs</t>
  </si>
  <si>
    <t>ITIL® Foundation Certificate in IT Service Management</t>
  </si>
  <si>
    <t>Les compétences managériales</t>
  </si>
  <si>
    <t>PCIE - Passeport de compétences informatique européen</t>
  </si>
  <si>
    <t>Praticien Légal a la Protection des Données Personnelles</t>
  </si>
  <si>
    <t>MINISTERE DE L'ENSEIGNEMENT SUPERIEUR</t>
  </si>
  <si>
    <t>Praticien technique à la protection des données personnelles</t>
  </si>
  <si>
    <t>Sciences Po - Executive Education - Parcours certifiant : culture économique et sociale</t>
  </si>
  <si>
    <t>Institut d'études politiques (Sciences po) de Paris</t>
  </si>
  <si>
    <t>Stage de préparation à l'installation (SPI)</t>
  </si>
  <si>
    <t>ASSEMBLÉE PERMANENTE DES CHAMBRES DE MÉTIERS ET DE L'ARTISANAT (APCMA)</t>
  </si>
  <si>
    <t>Tests TOEIC (Test of English for International Communication)</t>
  </si>
  <si>
    <t>ETS Global</t>
  </si>
  <si>
    <t>TOSA</t>
  </si>
  <si>
    <t>15/12/2015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</si>
</sst>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sz val="10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4"/>
  <sheetViews>
    <sheetView tabSelected="1" topLeftCell="B1" workbookViewId="0">
      <selection activeCell="G7" sqref="G7"/>
    </sheetView>
  </sheetViews>
  <sheetFormatPr defaultColWidth="9.109375" defaultRowHeight="12.6" x14ac:dyDescent="0.25"/>
  <cols>
    <col min="1" max="1" width="43.6640625" customWidth="1"/>
    <col min="2" max="2" width="68.6640625" customWidth="1"/>
    <col min="3" max="5" width="7.6640625" style="1" customWidth="1"/>
    <col min="6" max="7" width="11.6640625" style="1" customWidth="1"/>
    <col min="8" max="8" width="50.6640625" customWidth="1"/>
  </cols>
  <sheetData>
    <row r="1" spans="1:8" ht="69.90000000000000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3.8" x14ac:dyDescent="0.25">
      <c r="A2" s="3" t="s">
        <v>8</v>
      </c>
      <c r="B2" s="3" t="s">
        <v>9</v>
      </c>
      <c r="C2" s="4" t="str">
        <f>HYPERLINK("http://www.rncp.cncp.gouv.fr/grand-public/visualisationFiche?format=fr&amp;fiche=20601","20601")</f>
        <v>20601</v>
      </c>
      <c r="D2" s="4" t="str">
        <f>HYPERLINK("http://www.intercariforef.org/formations/certification-83578.html","83578")</f>
        <v>83578</v>
      </c>
      <c r="E2" s="5">
        <v>161191</v>
      </c>
      <c r="F2" s="5" t="s">
        <v>10</v>
      </c>
      <c r="G2" s="5" t="s">
        <v>11</v>
      </c>
      <c r="H2" s="3" t="s">
        <v>12</v>
      </c>
    </row>
    <row r="3" spans="1:8" ht="13.8" x14ac:dyDescent="0.25">
      <c r="A3" s="3" t="s">
        <v>8</v>
      </c>
      <c r="B3" s="3" t="s">
        <v>13</v>
      </c>
      <c r="C3" s="4" t="str">
        <f>HYPERLINK("http://www.rncp.cncp.gouv.fr/grand-public/visualisationFiche?format=fr&amp;fiche=9874","9874")</f>
        <v>9874</v>
      </c>
      <c r="D3" s="4" t="str">
        <f>HYPERLINK("http://www.intercariforef.org/formations/certification-69891.html","69891")</f>
        <v>69891</v>
      </c>
      <c r="E3" s="5">
        <v>14051</v>
      </c>
      <c r="F3" s="5" t="s">
        <v>10</v>
      </c>
      <c r="G3" s="5" t="s">
        <v>11</v>
      </c>
      <c r="H3" s="3" t="s">
        <v>14</v>
      </c>
    </row>
    <row r="4" spans="1:8" ht="13.8" x14ac:dyDescent="0.25">
      <c r="A4" s="3" t="s">
        <v>8</v>
      </c>
      <c r="B4" s="3" t="s">
        <v>15</v>
      </c>
      <c r="C4" s="4" t="str">
        <f>HYPERLINK("http://www.rncp.cncp.gouv.fr/grand-public/visualisationFiche?format=fr&amp;fiche=22154","22154")</f>
        <v>22154</v>
      </c>
      <c r="D4" s="4" t="str">
        <f>HYPERLINK("http://www.intercariforef.org/formations/certification-63132.html","63132")</f>
        <v>63132</v>
      </c>
      <c r="E4" s="5">
        <v>9475</v>
      </c>
      <c r="F4" s="5" t="s">
        <v>10</v>
      </c>
      <c r="G4" s="5" t="s">
        <v>11</v>
      </c>
      <c r="H4" s="3" t="s">
        <v>16</v>
      </c>
    </row>
    <row r="5" spans="1:8" ht="13.8" x14ac:dyDescent="0.25">
      <c r="A5" s="3" t="s">
        <v>8</v>
      </c>
      <c r="B5" s="3" t="s">
        <v>17</v>
      </c>
      <c r="C5" s="4" t="str">
        <f>HYPERLINK("http://www.rncp.cncp.gouv.fr/grand-public/visualisationFiche?format=fr&amp;fiche=16641","16641")</f>
        <v>16641</v>
      </c>
      <c r="D5" s="4" t="str">
        <f>HYPERLINK("http://www.intercariforef.org/formations/certification-81117.html","81117")</f>
        <v>81117</v>
      </c>
      <c r="E5" s="5">
        <v>9489</v>
      </c>
      <c r="F5" s="5" t="s">
        <v>10</v>
      </c>
      <c r="G5" s="5" t="s">
        <v>11</v>
      </c>
      <c r="H5" s="3" t="s">
        <v>18</v>
      </c>
    </row>
    <row r="6" spans="1:8" ht="13.8" x14ac:dyDescent="0.25">
      <c r="A6" s="3" t="s">
        <v>8</v>
      </c>
      <c r="B6" s="3" t="s">
        <v>19</v>
      </c>
      <c r="C6" s="4" t="str">
        <f>HYPERLINK("http://www.rncp.cncp.gouv.fr/grand-public/visualisationFiche?format=fr&amp;fiche=19545","19545")</f>
        <v>19545</v>
      </c>
      <c r="D6" s="4" t="str">
        <f>HYPERLINK("http://www.intercariforef.org/formations/certification-83375.html","83375")</f>
        <v>83375</v>
      </c>
      <c r="E6" s="5">
        <v>9491</v>
      </c>
      <c r="F6" s="5" t="s">
        <v>10</v>
      </c>
      <c r="G6" s="5" t="s">
        <v>11</v>
      </c>
      <c r="H6" s="3" t="s">
        <v>20</v>
      </c>
    </row>
    <row r="7" spans="1:8" ht="27.6" x14ac:dyDescent="0.25">
      <c r="A7" s="3" t="s">
        <v>8</v>
      </c>
      <c r="B7" s="3" t="s">
        <v>21</v>
      </c>
      <c r="C7" s="4" t="str">
        <f>HYPERLINK("http://www.rncp.cncp.gouv.fr/grand-public/visualisationFiche?format=fr&amp;fiche=12692","12692")</f>
        <v>12692</v>
      </c>
      <c r="D7" s="4" t="str">
        <f>HYPERLINK("http://www.intercariforef.org/formations/certification-74824.html","74824")</f>
        <v>74824</v>
      </c>
      <c r="E7" s="5">
        <v>9494</v>
      </c>
      <c r="F7" s="5" t="s">
        <v>10</v>
      </c>
      <c r="G7" s="5" t="s">
        <v>11</v>
      </c>
      <c r="H7" s="3" t="s">
        <v>22</v>
      </c>
    </row>
    <row r="8" spans="1:8" ht="13.8" x14ac:dyDescent="0.25">
      <c r="A8" s="3" t="s">
        <v>8</v>
      </c>
      <c r="B8" s="3" t="s">
        <v>23</v>
      </c>
      <c r="C8" s="4" t="str">
        <f>HYPERLINK("http://www.rncp.cncp.gouv.fr/grand-public/visualisationFiche?format=fr&amp;fiche=23690","23690")</f>
        <v>23690</v>
      </c>
      <c r="D8" s="4" t="str">
        <f>HYPERLINK("http://www.intercariforef.org/formations/certification-85353.html","85353")</f>
        <v>85353</v>
      </c>
      <c r="E8" s="5">
        <v>161196</v>
      </c>
      <c r="F8" s="5" t="s">
        <v>10</v>
      </c>
      <c r="G8" s="5" t="s">
        <v>11</v>
      </c>
      <c r="H8" s="3" t="s">
        <v>12</v>
      </c>
    </row>
    <row r="9" spans="1:8" ht="27.6" x14ac:dyDescent="0.25">
      <c r="A9" s="3" t="s">
        <v>8</v>
      </c>
      <c r="B9" s="3" t="s">
        <v>24</v>
      </c>
      <c r="C9" s="4" t="str">
        <f>HYPERLINK("http://www.rncp.cncp.gouv.fr/grand-public/visualisationFiche?format=fr&amp;fiche=367","367")</f>
        <v>367</v>
      </c>
      <c r="D9" s="4" t="str">
        <f>HYPERLINK("http://www.intercariforef.org/formations/certification-31062.html","31062")</f>
        <v>31062</v>
      </c>
      <c r="E9" s="5">
        <v>131756</v>
      </c>
      <c r="F9" s="5" t="s">
        <v>10</v>
      </c>
      <c r="G9" s="5" t="s">
        <v>11</v>
      </c>
      <c r="H9" s="3" t="s">
        <v>25</v>
      </c>
    </row>
    <row r="10" spans="1:8" ht="13.8" x14ac:dyDescent="0.25">
      <c r="A10" s="3" t="s">
        <v>8</v>
      </c>
      <c r="B10" s="3" t="s">
        <v>26</v>
      </c>
      <c r="C10" s="4" t="str">
        <f>HYPERLINK("http://www.rncp.cncp.gouv.fr/grand-public/visualisationFiche?format=fr&amp;fiche=5743","5743")</f>
        <v>5743</v>
      </c>
      <c r="D10" s="4" t="str">
        <f>HYPERLINK("http://www.intercariforef.org/formations/certification-58096.html","58096")</f>
        <v>58096</v>
      </c>
      <c r="E10" s="5">
        <v>145300</v>
      </c>
      <c r="F10" s="5" t="s">
        <v>10</v>
      </c>
      <c r="G10" s="5" t="s">
        <v>11</v>
      </c>
      <c r="H10" s="3" t="s">
        <v>27</v>
      </c>
    </row>
    <row r="11" spans="1:8" ht="27.6" x14ac:dyDescent="0.25">
      <c r="A11" s="3" t="s">
        <v>8</v>
      </c>
      <c r="B11" s="3" t="s">
        <v>28</v>
      </c>
      <c r="C11" s="4" t="str">
        <f>HYPERLINK("http://www.rncp.cncp.gouv.fr/grand-public/visualisationFiche?format=fr&amp;fiche=17270","17270")</f>
        <v>17270</v>
      </c>
      <c r="D11" s="4" t="str">
        <f>HYPERLINK("http://www.intercariforef.org/formations/certification-81573.html","81573")</f>
        <v>81573</v>
      </c>
      <c r="E11" s="5">
        <v>9497</v>
      </c>
      <c r="F11" s="5" t="s">
        <v>10</v>
      </c>
      <c r="G11" s="5" t="s">
        <v>11</v>
      </c>
      <c r="H11" s="3" t="s">
        <v>29</v>
      </c>
    </row>
    <row r="12" spans="1:8" ht="27.6" x14ac:dyDescent="0.25">
      <c r="A12" s="3" t="s">
        <v>8</v>
      </c>
      <c r="B12" s="3" t="s">
        <v>30</v>
      </c>
      <c r="C12" s="4" t="str">
        <f>HYPERLINK("http://www.rncp.cncp.gouv.fr/grand-public/visualisationFiche?format=fr&amp;fiche=17263","17263")</f>
        <v>17263</v>
      </c>
      <c r="D12" s="4" t="str">
        <f>HYPERLINK("http://www.intercariforef.org/formations/certification-81561.html","81561")</f>
        <v>81561</v>
      </c>
      <c r="E12" s="5">
        <v>131757</v>
      </c>
      <c r="F12" s="5" t="s">
        <v>10</v>
      </c>
      <c r="G12" s="5" t="s">
        <v>11</v>
      </c>
      <c r="H12" s="3" t="s">
        <v>29</v>
      </c>
    </row>
    <row r="13" spans="1:8" ht="27.6" x14ac:dyDescent="0.25">
      <c r="A13" s="3" t="s">
        <v>8</v>
      </c>
      <c r="B13" s="3" t="s">
        <v>31</v>
      </c>
      <c r="C13" s="4" t="str">
        <f>HYPERLINK("http://www.rncp.cncp.gouv.fr/grand-public/visualisationFiche?format=fr&amp;fiche=22239","22239")</f>
        <v>22239</v>
      </c>
      <c r="D13" s="4" t="str">
        <f>HYPERLINK("http://www.intercariforef.org/formations/certification-81105.html","81105")</f>
        <v>81105</v>
      </c>
      <c r="E13" s="5">
        <v>14052</v>
      </c>
      <c r="F13" s="5" t="s">
        <v>10</v>
      </c>
      <c r="G13" s="5" t="s">
        <v>11</v>
      </c>
      <c r="H13" s="3" t="s">
        <v>32</v>
      </c>
    </row>
    <row r="14" spans="1:8" ht="13.8" x14ac:dyDescent="0.25">
      <c r="A14" s="3" t="s">
        <v>8</v>
      </c>
      <c r="B14" s="3" t="s">
        <v>33</v>
      </c>
      <c r="C14" s="4" t="str">
        <f>HYPERLINK("http://www.rncp.cncp.gouv.fr/grand-public/visualisationFiche?format=fr&amp;fiche=4517","4517")</f>
        <v>4517</v>
      </c>
      <c r="D14" s="4" t="str">
        <f>HYPERLINK("http://www.intercariforef.org/formations/certification-53126.html","53126")</f>
        <v>53126</v>
      </c>
      <c r="E14" s="5">
        <v>9503</v>
      </c>
      <c r="F14" s="5" t="s">
        <v>10</v>
      </c>
      <c r="G14" s="5" t="s">
        <v>11</v>
      </c>
      <c r="H14" s="3" t="s">
        <v>34</v>
      </c>
    </row>
    <row r="15" spans="1:8" ht="13.8" x14ac:dyDescent="0.25">
      <c r="A15" s="3" t="s">
        <v>8</v>
      </c>
      <c r="B15" s="3" t="s">
        <v>35</v>
      </c>
      <c r="C15" s="4" t="str">
        <f>HYPERLINK("http://www.rncp.cncp.gouv.fr/grand-public/visualisationFiche?format=fr&amp;fiche=16642","16642")</f>
        <v>16642</v>
      </c>
      <c r="D15" s="4" t="str">
        <f>HYPERLINK("http://www.intercariforef.org/formations/certification-81101.html","81101")</f>
        <v>81101</v>
      </c>
      <c r="E15" s="5">
        <v>14054</v>
      </c>
      <c r="F15" s="5" t="s">
        <v>10</v>
      </c>
      <c r="G15" s="5" t="s">
        <v>11</v>
      </c>
      <c r="H15" s="3" t="s">
        <v>36</v>
      </c>
    </row>
    <row r="16" spans="1:8" ht="13.8" x14ac:dyDescent="0.25">
      <c r="A16" s="3" t="s">
        <v>8</v>
      </c>
      <c r="B16" s="3" t="s">
        <v>37</v>
      </c>
      <c r="C16" s="4" t="str">
        <f>HYPERLINK("http://www.rncp.cncp.gouv.fr/grand-public/visualisationFiche?format=fr&amp;fiche=12205","12205")</f>
        <v>12205</v>
      </c>
      <c r="D16" s="4" t="str">
        <f>HYPERLINK("http://www.intercariforef.org/formations/certification-72737.html","72737")</f>
        <v>72737</v>
      </c>
      <c r="E16" s="5">
        <v>14056</v>
      </c>
      <c r="F16" s="5" t="s">
        <v>10</v>
      </c>
      <c r="G16" s="5" t="s">
        <v>11</v>
      </c>
      <c r="H16" s="3" t="s">
        <v>38</v>
      </c>
    </row>
    <row r="17" spans="1:8" ht="27.6" x14ac:dyDescent="0.25">
      <c r="A17" s="3" t="s">
        <v>8</v>
      </c>
      <c r="B17" s="3" t="s">
        <v>39</v>
      </c>
      <c r="C17" s="4" t="str">
        <f>HYPERLINK("http://www.rncp.cncp.gouv.fr/grand-public/visualisationFiche?format=fr&amp;fiche=15805","15805")</f>
        <v>15805</v>
      </c>
      <c r="D17" s="4" t="str">
        <f>HYPERLINK("http://www.intercariforef.org/formations/certification-80484.html","80484")</f>
        <v>80484</v>
      </c>
      <c r="E17" s="5">
        <v>14057</v>
      </c>
      <c r="F17" s="5" t="s">
        <v>10</v>
      </c>
      <c r="G17" s="5" t="s">
        <v>11</v>
      </c>
      <c r="H17" s="3" t="s">
        <v>40</v>
      </c>
    </row>
    <row r="18" spans="1:8" ht="13.8" x14ac:dyDescent="0.25">
      <c r="A18" s="3" t="s">
        <v>8</v>
      </c>
      <c r="B18" s="3" t="s">
        <v>41</v>
      </c>
      <c r="C18" s="4" t="str">
        <f>HYPERLINK("http://www.rncp.cncp.gouv.fr/grand-public/visualisationFiche?format=fr&amp;fiche=17283","17283")</f>
        <v>17283</v>
      </c>
      <c r="D18" s="4" t="str">
        <f>HYPERLINK("http://www.intercariforef.org/formations/certification-81596.html","81596")</f>
        <v>81596</v>
      </c>
      <c r="E18" s="5">
        <v>9505</v>
      </c>
      <c r="F18" s="5" t="s">
        <v>10</v>
      </c>
      <c r="G18" s="5" t="s">
        <v>11</v>
      </c>
      <c r="H18" s="3" t="s">
        <v>42</v>
      </c>
    </row>
    <row r="19" spans="1:8" ht="13.8" x14ac:dyDescent="0.25">
      <c r="A19" s="3" t="s">
        <v>8</v>
      </c>
      <c r="B19" s="3" t="s">
        <v>43</v>
      </c>
      <c r="C19" s="4" t="str">
        <f>HYPERLINK("http://www.rncp.cncp.gouv.fr/grand-public/visualisationFiche?format=fr&amp;fiche=1778","1778")</f>
        <v>1778</v>
      </c>
      <c r="D19" s="4" t="str">
        <f>HYPERLINK("http://www.intercariforef.org/formations/certification-74921.html","74921")</f>
        <v>74921</v>
      </c>
      <c r="E19" s="5">
        <v>14060</v>
      </c>
      <c r="F19" s="5" t="s">
        <v>10</v>
      </c>
      <c r="G19" s="5" t="s">
        <v>11</v>
      </c>
      <c r="H19" s="3" t="s">
        <v>44</v>
      </c>
    </row>
    <row r="20" spans="1:8" ht="13.8" x14ac:dyDescent="0.25">
      <c r="A20" s="3" t="s">
        <v>8</v>
      </c>
      <c r="B20" s="3" t="s">
        <v>45</v>
      </c>
      <c r="C20" s="4" t="str">
        <f>HYPERLINK("http://www.rncp.cncp.gouv.fr/grand-public/visualisationFiche?format=fr&amp;fiche=17264","17264")</f>
        <v>17264</v>
      </c>
      <c r="D20" s="4" t="str">
        <f>HYPERLINK("http://www.intercariforef.org/formations/certification-81562.html","81562")</f>
        <v>81562</v>
      </c>
      <c r="E20" s="5">
        <v>14062</v>
      </c>
      <c r="F20" s="5" t="s">
        <v>10</v>
      </c>
      <c r="G20" s="5" t="s">
        <v>11</v>
      </c>
      <c r="H20" s="3" t="s">
        <v>46</v>
      </c>
    </row>
    <row r="21" spans="1:8" ht="27.6" x14ac:dyDescent="0.25">
      <c r="A21" s="3" t="s">
        <v>8</v>
      </c>
      <c r="B21" s="3" t="s">
        <v>47</v>
      </c>
      <c r="C21" s="4" t="str">
        <f>HYPERLINK("http://www.rncp.cncp.gouv.fr/grand-public/visualisationFiche?format=fr&amp;fiche=18599","18599")</f>
        <v>18599</v>
      </c>
      <c r="D21" s="4" t="str">
        <f>HYPERLINK("http://www.intercariforef.org/formations/certification-82610.html","82610")</f>
        <v>82610</v>
      </c>
      <c r="E21" s="5">
        <v>9507</v>
      </c>
      <c r="F21" s="5" t="s">
        <v>10</v>
      </c>
      <c r="G21" s="5" t="s">
        <v>11</v>
      </c>
      <c r="H21" s="3" t="s">
        <v>48</v>
      </c>
    </row>
    <row r="22" spans="1:8" ht="27.6" x14ac:dyDescent="0.25">
      <c r="A22" s="3" t="s">
        <v>8</v>
      </c>
      <c r="B22" s="3" t="s">
        <v>49</v>
      </c>
      <c r="C22" s="4" t="str">
        <f>HYPERLINK("http://www.rncp.cncp.gouv.fr/grand-public/visualisationFiche?format=fr&amp;fiche=17298","17298")</f>
        <v>17298</v>
      </c>
      <c r="D22" s="4" t="str">
        <f>HYPERLINK("http://www.intercariforef.org/formations/certification-81643.html","81643")</f>
        <v>81643</v>
      </c>
      <c r="E22" s="5">
        <v>16065</v>
      </c>
      <c r="F22" s="5" t="s">
        <v>10</v>
      </c>
      <c r="G22" s="5" t="s">
        <v>11</v>
      </c>
      <c r="H22" s="3" t="s">
        <v>50</v>
      </c>
    </row>
    <row r="23" spans="1:8" ht="13.8" x14ac:dyDescent="0.25">
      <c r="A23" s="3" t="s">
        <v>8</v>
      </c>
      <c r="B23" s="3" t="s">
        <v>51</v>
      </c>
      <c r="C23" s="4" t="str">
        <f>HYPERLINK("http://www.rncp.cncp.gouv.fr/grand-public/visualisationFiche?format=fr&amp;fiche=21568","21568")</f>
        <v>21568</v>
      </c>
      <c r="D23" s="4" t="str">
        <f>HYPERLINK("http://www.intercariforef.org/formations/certification-47393.html","47393")</f>
        <v>47393</v>
      </c>
      <c r="E23" s="5">
        <v>161590</v>
      </c>
      <c r="F23" s="5" t="s">
        <v>10</v>
      </c>
      <c r="G23" s="5" t="s">
        <v>11</v>
      </c>
      <c r="H23" s="3" t="s">
        <v>52</v>
      </c>
    </row>
    <row r="24" spans="1:8" ht="27.6" x14ac:dyDescent="0.25">
      <c r="A24" s="3" t="s">
        <v>8</v>
      </c>
      <c r="B24" s="3" t="s">
        <v>53</v>
      </c>
      <c r="C24" s="4" t="str">
        <f>HYPERLINK("http://www.rncp.cncp.gouv.fr/grand-public/visualisationFiche?format=fr&amp;fiche=17017","17017")</f>
        <v>17017</v>
      </c>
      <c r="D24" s="4" t="str">
        <f>HYPERLINK("http://www.intercariforef.org/formations/certification-47405.html","47405")</f>
        <v>47405</v>
      </c>
      <c r="E24" s="5">
        <v>150787</v>
      </c>
      <c r="F24" s="5" t="s">
        <v>10</v>
      </c>
      <c r="G24" s="5" t="s">
        <v>11</v>
      </c>
      <c r="H24" s="3" t="s">
        <v>54</v>
      </c>
    </row>
    <row r="25" spans="1:8" ht="13.8" x14ac:dyDescent="0.25">
      <c r="A25" s="3" t="s">
        <v>8</v>
      </c>
      <c r="B25" s="3" t="s">
        <v>55</v>
      </c>
      <c r="C25" s="4" t="str">
        <f>HYPERLINK("http://www.rncp.cncp.gouv.fr/grand-public/visualisationFiche?format=fr&amp;fiche=14885","14885")</f>
        <v>14885</v>
      </c>
      <c r="D25" s="4" t="str">
        <f>HYPERLINK("http://www.intercariforef.org/formations/certification-47410.html","47410")</f>
        <v>47410</v>
      </c>
      <c r="E25" s="5">
        <v>150788</v>
      </c>
      <c r="F25" s="5" t="s">
        <v>10</v>
      </c>
      <c r="G25" s="5" t="s">
        <v>11</v>
      </c>
      <c r="H25" s="3" t="s">
        <v>56</v>
      </c>
    </row>
    <row r="26" spans="1:8" ht="27.6" x14ac:dyDescent="0.25">
      <c r="A26" s="3" t="s">
        <v>8</v>
      </c>
      <c r="B26" s="3" t="s">
        <v>57</v>
      </c>
      <c r="C26" s="4" t="str">
        <f>HYPERLINK("http://www.rncp.cncp.gouv.fr/grand-public/visualisationFiche?format=fr&amp;fiche=1707","1707")</f>
        <v>1707</v>
      </c>
      <c r="D26" s="4" t="str">
        <f>HYPERLINK("http://www.intercariforef.org/formations/certification-47395.html","47395")</f>
        <v>47395</v>
      </c>
      <c r="E26" s="5">
        <v>128737</v>
      </c>
      <c r="F26" s="5" t="s">
        <v>10</v>
      </c>
      <c r="G26" s="5" t="s">
        <v>11</v>
      </c>
      <c r="H26" s="3" t="s">
        <v>58</v>
      </c>
    </row>
    <row r="27" spans="1:8" ht="27.6" x14ac:dyDescent="0.25">
      <c r="A27" s="3" t="s">
        <v>8</v>
      </c>
      <c r="B27" s="3" t="s">
        <v>59</v>
      </c>
      <c r="C27" s="4" t="str">
        <f>HYPERLINK("http://www.rncp.cncp.gouv.fr/grand-public/visualisationFiche?format=fr&amp;fiche=17897","17897")</f>
        <v>17897</v>
      </c>
      <c r="D27" s="4" t="str">
        <f>HYPERLINK("http://www.intercariforef.org/formations/certification-47389.html","47389")</f>
        <v>47389</v>
      </c>
      <c r="E27" s="5">
        <v>16213</v>
      </c>
      <c r="F27" s="5" t="s">
        <v>10</v>
      </c>
      <c r="G27" s="5" t="s">
        <v>11</v>
      </c>
      <c r="H27" s="3" t="s">
        <v>22</v>
      </c>
    </row>
    <row r="28" spans="1:8" ht="27.6" x14ac:dyDescent="0.25">
      <c r="A28" s="3" t="s">
        <v>8</v>
      </c>
      <c r="B28" s="3" t="s">
        <v>60</v>
      </c>
      <c r="C28" s="4" t="str">
        <f>HYPERLINK("http://www.rncp.cncp.gouv.fr/grand-public/visualisationFiche?format=fr&amp;fiche=23500","23500")</f>
        <v>23500</v>
      </c>
      <c r="D28" s="4" t="str">
        <f>HYPERLINK("http://www.intercariforef.org/formations/certification-58033.html","58033")</f>
        <v>58033</v>
      </c>
      <c r="E28" s="5">
        <v>17523</v>
      </c>
      <c r="F28" s="5" t="s">
        <v>10</v>
      </c>
      <c r="G28" s="5" t="s">
        <v>11</v>
      </c>
      <c r="H28" s="3" t="s">
        <v>61</v>
      </c>
    </row>
    <row r="29" spans="1:8" ht="27.6" x14ac:dyDescent="0.25">
      <c r="A29" s="3" t="s">
        <v>8</v>
      </c>
      <c r="B29" s="3" t="s">
        <v>62</v>
      </c>
      <c r="C29" s="4" t="str">
        <f>HYPERLINK("http://www.rncp.cncp.gouv.fr/grand-public/visualisationFiche?format=fr&amp;fiche=24233","24233")</f>
        <v>24233</v>
      </c>
      <c r="D29" s="4" t="str">
        <f>HYPERLINK("http://www.intercariforef.org/formations/certification-47391.html","47391")</f>
        <v>47391</v>
      </c>
      <c r="E29" s="5">
        <v>16197</v>
      </c>
      <c r="F29" s="5" t="s">
        <v>10</v>
      </c>
      <c r="G29" s="5" t="s">
        <v>11</v>
      </c>
      <c r="H29" s="3" t="s">
        <v>63</v>
      </c>
    </row>
    <row r="30" spans="1:8" ht="27.6" x14ac:dyDescent="0.25">
      <c r="A30" s="3" t="s">
        <v>8</v>
      </c>
      <c r="B30" s="3" t="s">
        <v>64</v>
      </c>
      <c r="C30" s="4" t="str">
        <f>HYPERLINK("http://www.rncp.cncp.gouv.fr/grand-public/visualisationFiche?format=fr&amp;fiche=4465","4465")</f>
        <v>4465</v>
      </c>
      <c r="D30" s="4" t="str">
        <f>HYPERLINK("http://www.intercariforef.org/formations/certification-47868.html","47868")</f>
        <v>47868</v>
      </c>
      <c r="E30" s="5">
        <v>145301</v>
      </c>
      <c r="F30" s="5" t="s">
        <v>10</v>
      </c>
      <c r="G30" s="5" t="s">
        <v>11</v>
      </c>
      <c r="H30" s="3" t="s">
        <v>65</v>
      </c>
    </row>
    <row r="31" spans="1:8" ht="27.6" x14ac:dyDescent="0.25">
      <c r="A31" s="3" t="s">
        <v>8</v>
      </c>
      <c r="B31" s="3" t="s">
        <v>66</v>
      </c>
      <c r="C31" s="5"/>
      <c r="D31" s="4" t="str">
        <f>HYPERLINK("http://www.intercariforef.org/formations/certification-18734.html","18734")</f>
        <v>18734</v>
      </c>
      <c r="E31" s="5">
        <v>2968</v>
      </c>
      <c r="F31" s="5" t="s">
        <v>10</v>
      </c>
      <c r="G31" s="5" t="s">
        <v>11</v>
      </c>
      <c r="H31" s="3" t="s">
        <v>67</v>
      </c>
    </row>
    <row r="32" spans="1:8" ht="13.8" x14ac:dyDescent="0.25">
      <c r="A32" s="3" t="s">
        <v>8</v>
      </c>
      <c r="B32" s="3" t="s">
        <v>68</v>
      </c>
      <c r="C32" s="4" t="str">
        <f>HYPERLINK("http://www.rncp.cncp.gouv.fr/grand-public/visualisationFiche?format=fr&amp;fiche=18367","18367")</f>
        <v>18367</v>
      </c>
      <c r="D32" s="4" t="str">
        <f>HYPERLINK("http://www.intercariforef.org/formations/certification-78851.html","78851")</f>
        <v>78851</v>
      </c>
      <c r="E32" s="5">
        <v>2957</v>
      </c>
      <c r="F32" s="5" t="s">
        <v>10</v>
      </c>
      <c r="G32" s="5" t="s">
        <v>11</v>
      </c>
      <c r="H32" s="3" t="s">
        <v>25</v>
      </c>
    </row>
    <row r="33" spans="1:8" ht="27.6" x14ac:dyDescent="0.25">
      <c r="A33" s="3" t="s">
        <v>8</v>
      </c>
      <c r="B33" s="3" t="s">
        <v>69</v>
      </c>
      <c r="C33" s="4" t="str">
        <f>HYPERLINK("http://www.rncp.cncp.gouv.fr/grand-public/visualisationFiche?format=fr&amp;fiche=4505","4505")</f>
        <v>4505</v>
      </c>
      <c r="D33" s="4" t="str">
        <f>HYPERLINK("http://www.intercariforef.org/formations/certification-52681.html","52681")</f>
        <v>52681</v>
      </c>
      <c r="E33" s="5">
        <v>162492</v>
      </c>
      <c r="F33" s="5" t="s">
        <v>10</v>
      </c>
      <c r="G33" s="5" t="s">
        <v>11</v>
      </c>
      <c r="H33" s="3" t="s">
        <v>67</v>
      </c>
    </row>
    <row r="34" spans="1:8" ht="13.8" x14ac:dyDescent="0.25">
      <c r="A34" s="3" t="s">
        <v>8</v>
      </c>
      <c r="B34" s="3" t="s">
        <v>70</v>
      </c>
      <c r="C34" s="4" t="str">
        <f>HYPERLINK("http://www.rncp.cncp.gouv.fr/grand-public/visualisationFiche?format=fr&amp;fiche=4878","4878")</f>
        <v>4878</v>
      </c>
      <c r="D34" s="4" t="str">
        <f>HYPERLINK("http://www.intercariforef.org/formations/certification-64895.html","64895")</f>
        <v>64895</v>
      </c>
      <c r="E34" s="5">
        <v>9521</v>
      </c>
      <c r="F34" s="5" t="s">
        <v>10</v>
      </c>
      <c r="G34" s="5" t="s">
        <v>11</v>
      </c>
      <c r="H34" s="3" t="s">
        <v>71</v>
      </c>
    </row>
    <row r="35" spans="1:8" ht="13.8" x14ac:dyDescent="0.25">
      <c r="A35" s="3" t="s">
        <v>8</v>
      </c>
      <c r="B35" s="3" t="s">
        <v>72</v>
      </c>
      <c r="C35" s="4" t="str">
        <f>HYPERLINK("http://www.rncp.cncp.gouv.fr/grand-public/visualisationFiche?format=fr&amp;fiche=17480","17480")</f>
        <v>17480</v>
      </c>
      <c r="D35" s="4" t="str">
        <f>HYPERLINK("http://www.intercariforef.org/formations/certification-47398.html","47398")</f>
        <v>47398</v>
      </c>
      <c r="E35" s="5">
        <v>150786</v>
      </c>
      <c r="F35" s="5" t="s">
        <v>10</v>
      </c>
      <c r="G35" s="5" t="s">
        <v>11</v>
      </c>
      <c r="H35" s="3" t="s">
        <v>73</v>
      </c>
    </row>
    <row r="36" spans="1:8" ht="13.8" x14ac:dyDescent="0.25">
      <c r="A36" s="3" t="s">
        <v>8</v>
      </c>
      <c r="B36" s="3" t="s">
        <v>74</v>
      </c>
      <c r="C36" s="4" t="str">
        <f>HYPERLINK("http://www.rncp.cncp.gouv.fr/grand-public/visualisationFiche?format=fr&amp;fiche=14214","14214")</f>
        <v>14214</v>
      </c>
      <c r="D36" s="4" t="str">
        <f>HYPERLINK("http://www.intercariforef.org/formations/certification-47399.html","47399")</f>
        <v>47399</v>
      </c>
      <c r="E36" s="5">
        <v>16101</v>
      </c>
      <c r="F36" s="5" t="s">
        <v>10</v>
      </c>
      <c r="G36" s="5" t="s">
        <v>11</v>
      </c>
      <c r="H36" s="3" t="s">
        <v>75</v>
      </c>
    </row>
    <row r="37" spans="1:8" ht="13.8" x14ac:dyDescent="0.25">
      <c r="A37" s="3" t="s">
        <v>8</v>
      </c>
      <c r="B37" s="3" t="s">
        <v>76</v>
      </c>
      <c r="C37" s="4" t="str">
        <f>HYPERLINK("http://www.rncp.cncp.gouv.fr/grand-public/visualisationFiche?format=fr&amp;fiche=13017","13017")</f>
        <v>13017</v>
      </c>
      <c r="D37" s="4" t="str">
        <f>HYPERLINK("http://www.intercariforef.org/formations/certification-47378.html","47378")</f>
        <v>47378</v>
      </c>
      <c r="E37" s="5">
        <v>150785</v>
      </c>
      <c r="F37" s="5" t="s">
        <v>10</v>
      </c>
      <c r="G37" s="5" t="s">
        <v>11</v>
      </c>
      <c r="H37" s="3" t="s">
        <v>77</v>
      </c>
    </row>
    <row r="38" spans="1:8" ht="27.6" x14ac:dyDescent="0.25">
      <c r="A38" s="3" t="s">
        <v>8</v>
      </c>
      <c r="B38" s="3" t="s">
        <v>78</v>
      </c>
      <c r="C38" s="4" t="str">
        <f>HYPERLINK("http://www.rncp.cncp.gouv.fr/grand-public/visualisationFiche?format=fr&amp;fiche=12909","12909")</f>
        <v>12909</v>
      </c>
      <c r="D38" s="4" t="str">
        <f>HYPERLINK("http://www.intercariforef.org/formations/certification-48690.html","48690")</f>
        <v>48690</v>
      </c>
      <c r="E38" s="5">
        <v>150683</v>
      </c>
      <c r="F38" s="5" t="s">
        <v>10</v>
      </c>
      <c r="G38" s="5" t="s">
        <v>11</v>
      </c>
      <c r="H38" s="3" t="s">
        <v>79</v>
      </c>
    </row>
    <row r="39" spans="1:8" ht="13.8" x14ac:dyDescent="0.25">
      <c r="A39" s="3" t="s">
        <v>8</v>
      </c>
      <c r="B39" s="3" t="s">
        <v>80</v>
      </c>
      <c r="C39" s="4" t="str">
        <f>HYPERLINK("http://www.rncp.cncp.gouv.fr/grand-public/visualisationFiche?format=fr&amp;fiche=4877","4877")</f>
        <v>4877</v>
      </c>
      <c r="D39" s="4" t="str">
        <f>HYPERLINK("http://www.intercariforef.org/formations/certification-53248.html","53248")</f>
        <v>53248</v>
      </c>
      <c r="E39" s="5">
        <v>9523</v>
      </c>
      <c r="F39" s="5" t="s">
        <v>10</v>
      </c>
      <c r="G39" s="5" t="s">
        <v>11</v>
      </c>
      <c r="H39" s="3" t="s">
        <v>81</v>
      </c>
    </row>
    <row r="40" spans="1:8" ht="13.8" x14ac:dyDescent="0.25">
      <c r="A40" s="3" t="s">
        <v>8</v>
      </c>
      <c r="B40" s="3" t="s">
        <v>82</v>
      </c>
      <c r="C40" s="4" t="str">
        <f>HYPERLINK("http://www.rncp.cncp.gouv.fr/grand-public/visualisationFiche?format=fr&amp;fiche=23691","23691")</f>
        <v>23691</v>
      </c>
      <c r="D40" s="4" t="str">
        <f>HYPERLINK("http://www.intercariforef.org/formations/certification-85354.html","85354")</f>
        <v>85354</v>
      </c>
      <c r="E40" s="5">
        <v>162694</v>
      </c>
      <c r="F40" s="5" t="s">
        <v>10</v>
      </c>
      <c r="G40" s="5" t="s">
        <v>11</v>
      </c>
      <c r="H40" s="3" t="s">
        <v>83</v>
      </c>
    </row>
    <row r="41" spans="1:8" ht="27.6" x14ac:dyDescent="0.25">
      <c r="A41" s="3" t="s">
        <v>8</v>
      </c>
      <c r="B41" s="3" t="s">
        <v>84</v>
      </c>
      <c r="C41" s="4" t="str">
        <f>HYPERLINK("http://www.rncp.cncp.gouv.fr/grand-public/visualisationFiche?format=fr&amp;fiche=17262","17262")</f>
        <v>17262</v>
      </c>
      <c r="D41" s="4" t="str">
        <f>HYPERLINK("http://www.intercariforef.org/formations/certification-81633.html","81633")</f>
        <v>81633</v>
      </c>
      <c r="E41" s="5">
        <v>9537</v>
      </c>
      <c r="F41" s="5" t="s">
        <v>10</v>
      </c>
      <c r="G41" s="5" t="s">
        <v>11</v>
      </c>
      <c r="H41" s="3" t="s">
        <v>85</v>
      </c>
    </row>
    <row r="42" spans="1:8" ht="13.8" x14ac:dyDescent="0.25">
      <c r="A42" s="3" t="s">
        <v>8</v>
      </c>
      <c r="B42" s="3" t="s">
        <v>86</v>
      </c>
      <c r="C42" s="4" t="str">
        <f>HYPERLINK("http://www.rncp.cncp.gouv.fr/grand-public/visualisationFiche?format=fr&amp;fiche=15796","15796")</f>
        <v>15796</v>
      </c>
      <c r="D42" s="4" t="str">
        <f>HYPERLINK("http://www.intercariforef.org/formations/certification-80504.html","80504")</f>
        <v>80504</v>
      </c>
      <c r="E42" s="5">
        <v>9542</v>
      </c>
      <c r="F42" s="5" t="s">
        <v>10</v>
      </c>
      <c r="G42" s="5" t="s">
        <v>11</v>
      </c>
      <c r="H42" s="3" t="s">
        <v>87</v>
      </c>
    </row>
    <row r="43" spans="1:8" ht="13.8" x14ac:dyDescent="0.25">
      <c r="A43" s="3" t="s">
        <v>8</v>
      </c>
      <c r="B43" s="3" t="s">
        <v>88</v>
      </c>
      <c r="C43" s="4" t="str">
        <f>HYPERLINK("http://www.rncp.cncp.gouv.fr/grand-public/visualisationFiche?format=fr&amp;fiche=10396","10396")</f>
        <v>10396</v>
      </c>
      <c r="D43" s="4" t="str">
        <f>HYPERLINK("http://www.intercariforef.org/formations/certification-69888.html","69888")</f>
        <v>69888</v>
      </c>
      <c r="E43" s="5">
        <v>17524</v>
      </c>
      <c r="F43" s="5" t="s">
        <v>10</v>
      </c>
      <c r="G43" s="5" t="s">
        <v>11</v>
      </c>
      <c r="H43" s="3" t="s">
        <v>89</v>
      </c>
    </row>
    <row r="44" spans="1:8" ht="13.8" x14ac:dyDescent="0.25">
      <c r="A44" s="3" t="s">
        <v>8</v>
      </c>
      <c r="B44" s="3" t="s">
        <v>90</v>
      </c>
      <c r="C44" s="4" t="str">
        <f>HYPERLINK("http://www.rncp.cncp.gouv.fr/grand-public/visualisationFiche?format=fr&amp;fiche=14536","14536")</f>
        <v>14536</v>
      </c>
      <c r="D44" s="4" t="str">
        <f>HYPERLINK("http://www.intercariforef.org/formations/certification-54959.html","54959")</f>
        <v>54959</v>
      </c>
      <c r="E44" s="5">
        <v>9570</v>
      </c>
      <c r="F44" s="5" t="s">
        <v>10</v>
      </c>
      <c r="G44" s="5" t="s">
        <v>11</v>
      </c>
      <c r="H44" s="3" t="s">
        <v>91</v>
      </c>
    </row>
    <row r="45" spans="1:8" ht="13.8" x14ac:dyDescent="0.25">
      <c r="A45" s="3" t="s">
        <v>8</v>
      </c>
      <c r="B45" s="3" t="s">
        <v>92</v>
      </c>
      <c r="C45" s="4" t="str">
        <f>HYPERLINK("http://www.rncp.cncp.gouv.fr/grand-public/visualisationFiche?format=fr&amp;fiche=1384","1384")</f>
        <v>1384</v>
      </c>
      <c r="D45" s="4" t="str">
        <f>HYPERLINK("http://www.intercariforef.org/formations/certification-31291.html","31291")</f>
        <v>31291</v>
      </c>
      <c r="E45" s="5">
        <v>145318</v>
      </c>
      <c r="F45" s="5" t="s">
        <v>10</v>
      </c>
      <c r="G45" s="5" t="s">
        <v>11</v>
      </c>
      <c r="H45" s="3" t="s">
        <v>93</v>
      </c>
    </row>
    <row r="46" spans="1:8" ht="13.8" x14ac:dyDescent="0.25">
      <c r="A46" s="3" t="s">
        <v>8</v>
      </c>
      <c r="B46" s="3" t="s">
        <v>94</v>
      </c>
      <c r="C46" s="4" t="str">
        <f>HYPERLINK("http://www.rncp.cncp.gouv.fr/grand-public/visualisationFiche?format=fr&amp;fiche=19224","19224")</f>
        <v>19224</v>
      </c>
      <c r="D46" s="4" t="str">
        <f>HYPERLINK("http://www.intercariforef.org/formations/certification-83198.html","83198")</f>
        <v>83198</v>
      </c>
      <c r="E46" s="5">
        <v>17525</v>
      </c>
      <c r="F46" s="5" t="s">
        <v>10</v>
      </c>
      <c r="G46" s="5" t="s">
        <v>11</v>
      </c>
      <c r="H46" s="3" t="s">
        <v>95</v>
      </c>
    </row>
    <row r="47" spans="1:8" ht="13.8" x14ac:dyDescent="0.25">
      <c r="A47" s="3" t="s">
        <v>8</v>
      </c>
      <c r="B47" s="3" t="s">
        <v>96</v>
      </c>
      <c r="C47" s="4" t="str">
        <f>HYPERLINK("http://www.rncp.cncp.gouv.fr/grand-public/visualisationFiche?format=fr&amp;fiche=14523","14523")</f>
        <v>14523</v>
      </c>
      <c r="D47" s="4" t="str">
        <f>HYPERLINK("http://www.intercariforef.org/formations/certification-54960.html","54960")</f>
        <v>54960</v>
      </c>
      <c r="E47" s="5">
        <v>9571</v>
      </c>
      <c r="F47" s="5" t="s">
        <v>10</v>
      </c>
      <c r="G47" s="5" t="s">
        <v>11</v>
      </c>
      <c r="H47" s="3" t="s">
        <v>91</v>
      </c>
    </row>
    <row r="48" spans="1:8" ht="13.8" x14ac:dyDescent="0.25">
      <c r="A48" s="3" t="s">
        <v>8</v>
      </c>
      <c r="B48" s="3" t="s">
        <v>97</v>
      </c>
      <c r="C48" s="4" t="str">
        <f>HYPERLINK("http://www.rncp.cncp.gouv.fr/grand-public/visualisationFiche?format=fr&amp;fiche=14522","14522")</f>
        <v>14522</v>
      </c>
      <c r="D48" s="4" t="str">
        <f>HYPERLINK("http://www.intercariforef.org/formations/certification-55442.html","55442")</f>
        <v>55442</v>
      </c>
      <c r="E48" s="5">
        <v>9572</v>
      </c>
      <c r="F48" s="5" t="s">
        <v>10</v>
      </c>
      <c r="G48" s="5" t="s">
        <v>11</v>
      </c>
      <c r="H48" s="3" t="s">
        <v>98</v>
      </c>
    </row>
    <row r="49" spans="1:8" ht="13.8" x14ac:dyDescent="0.25">
      <c r="A49" s="3" t="s">
        <v>8</v>
      </c>
      <c r="B49" s="3" t="s">
        <v>99</v>
      </c>
      <c r="C49" s="4" t="str">
        <f>HYPERLINK("http://www.rncp.cncp.gouv.fr/grand-public/visualisationFiche?format=fr&amp;fiche=16326","16326")</f>
        <v>16326</v>
      </c>
      <c r="D49" s="4" t="str">
        <f>HYPERLINK("http://www.intercariforef.org/formations/certification-80510.html","80510")</f>
        <v>80510</v>
      </c>
      <c r="E49" s="5">
        <v>162696</v>
      </c>
      <c r="F49" s="5" t="s">
        <v>10</v>
      </c>
      <c r="G49" s="5" t="s">
        <v>11</v>
      </c>
      <c r="H49" s="3" t="s">
        <v>100</v>
      </c>
    </row>
    <row r="50" spans="1:8" ht="13.8" x14ac:dyDescent="0.25">
      <c r="A50" s="3" t="s">
        <v>8</v>
      </c>
      <c r="B50" s="3" t="s">
        <v>101</v>
      </c>
      <c r="C50" s="4" t="str">
        <f>HYPERLINK("http://www.rncp.cncp.gouv.fr/grand-public/visualisationFiche?format=fr&amp;fiche=15366","15366")</f>
        <v>15366</v>
      </c>
      <c r="D50" s="4" t="str">
        <f>HYPERLINK("http://www.intercariforef.org/formations/certification-79031.html","79031")</f>
        <v>79031</v>
      </c>
      <c r="E50" s="5">
        <v>9575</v>
      </c>
      <c r="F50" s="5" t="s">
        <v>10</v>
      </c>
      <c r="G50" s="5" t="s">
        <v>11</v>
      </c>
      <c r="H50" s="3" t="s">
        <v>102</v>
      </c>
    </row>
    <row r="51" spans="1:8" ht="13.8" x14ac:dyDescent="0.25">
      <c r="A51" s="3" t="s">
        <v>8</v>
      </c>
      <c r="B51" s="3" t="s">
        <v>103</v>
      </c>
      <c r="C51" s="4" t="str">
        <f>HYPERLINK("http://www.rncp.cncp.gouv.fr/grand-public/visualisationFiche?format=fr&amp;fiche=11935","11935")</f>
        <v>11935</v>
      </c>
      <c r="D51" s="4" t="str">
        <f>HYPERLINK("http://www.intercariforef.org/formations/certification-73796.html","73796")</f>
        <v>73796</v>
      </c>
      <c r="E51" s="5">
        <v>9577</v>
      </c>
      <c r="F51" s="5" t="s">
        <v>10</v>
      </c>
      <c r="G51" s="5" t="s">
        <v>11</v>
      </c>
      <c r="H51" s="3" t="s">
        <v>104</v>
      </c>
    </row>
    <row r="52" spans="1:8" ht="13.8" x14ac:dyDescent="0.25">
      <c r="A52" s="3" t="s">
        <v>8</v>
      </c>
      <c r="B52" s="3" t="s">
        <v>105</v>
      </c>
      <c r="C52" s="4" t="str">
        <f>HYPERLINK("http://www.rncp.cncp.gouv.fr/grand-public/visualisationFiche?format=fr&amp;fiche=15056","15056")</f>
        <v>15056</v>
      </c>
      <c r="D52" s="4" t="str">
        <f>HYPERLINK("http://www.intercariforef.org/formations/certification-54225.html","54225")</f>
        <v>54225</v>
      </c>
      <c r="E52" s="5">
        <v>9576</v>
      </c>
      <c r="F52" s="5" t="s">
        <v>10</v>
      </c>
      <c r="G52" s="5" t="s">
        <v>11</v>
      </c>
      <c r="H52" s="3" t="s">
        <v>77</v>
      </c>
    </row>
    <row r="53" spans="1:8" ht="13.8" x14ac:dyDescent="0.25">
      <c r="A53" s="3" t="s">
        <v>8</v>
      </c>
      <c r="B53" s="3" t="s">
        <v>106</v>
      </c>
      <c r="C53" s="4" t="str">
        <f>HYPERLINK("http://www.rncp.cncp.gouv.fr/grand-public/visualisationFiche?format=fr&amp;fiche=17276","17276")</f>
        <v>17276</v>
      </c>
      <c r="D53" s="4" t="str">
        <f>HYPERLINK("http://www.intercariforef.org/formations/certification-81581.html","81581")</f>
        <v>81581</v>
      </c>
      <c r="E53" s="5">
        <v>9578</v>
      </c>
      <c r="F53" s="5" t="s">
        <v>10</v>
      </c>
      <c r="G53" s="5" t="s">
        <v>11</v>
      </c>
      <c r="H53" s="3" t="s">
        <v>107</v>
      </c>
    </row>
    <row r="54" spans="1:8" ht="13.8" x14ac:dyDescent="0.25">
      <c r="A54" s="3" t="s">
        <v>8</v>
      </c>
      <c r="B54" s="3" t="s">
        <v>108</v>
      </c>
      <c r="C54" s="4" t="str">
        <f>HYPERLINK("http://www.rncp.cncp.gouv.fr/grand-public/visualisationFiche?format=fr&amp;fiche=17271","17271")</f>
        <v>17271</v>
      </c>
      <c r="D54" s="4" t="str">
        <f>HYPERLINK("http://www.intercariforef.org/formations/certification-81575.html","81575")</f>
        <v>81575</v>
      </c>
      <c r="E54" s="5">
        <v>162697</v>
      </c>
      <c r="F54" s="5" t="s">
        <v>10</v>
      </c>
      <c r="G54" s="5" t="s">
        <v>11</v>
      </c>
      <c r="H54" s="3" t="s">
        <v>42</v>
      </c>
    </row>
    <row r="55" spans="1:8" ht="13.8" x14ac:dyDescent="0.25">
      <c r="A55" s="3" t="s">
        <v>8</v>
      </c>
      <c r="B55" s="3" t="s">
        <v>109</v>
      </c>
      <c r="C55" s="4" t="str">
        <f>HYPERLINK("http://www.rncp.cncp.gouv.fr/grand-public/visualisationFiche?format=fr&amp;fiche=12063","12063")</f>
        <v>12063</v>
      </c>
      <c r="D55" s="4" t="str">
        <f>HYPERLINK("http://www.intercariforef.org/formations/certification-73813.html","73813")</f>
        <v>73813</v>
      </c>
      <c r="E55" s="5">
        <v>16024</v>
      </c>
      <c r="F55" s="5" t="s">
        <v>10</v>
      </c>
      <c r="G55" s="5" t="s">
        <v>11</v>
      </c>
      <c r="H55" s="3" t="s">
        <v>110</v>
      </c>
    </row>
    <row r="56" spans="1:8" ht="13.8" x14ac:dyDescent="0.25">
      <c r="A56" s="3" t="s">
        <v>8</v>
      </c>
      <c r="B56" s="3" t="s">
        <v>111</v>
      </c>
      <c r="C56" s="4" t="str">
        <f>HYPERLINK("http://www.rncp.cncp.gouv.fr/grand-public/visualisationFiche?format=fr&amp;fiche=17151","17151")</f>
        <v>17151</v>
      </c>
      <c r="D56" s="4" t="str">
        <f>HYPERLINK("http://www.intercariforef.org/formations/certification-81364.html","81364")</f>
        <v>81364</v>
      </c>
      <c r="E56" s="5">
        <v>131758</v>
      </c>
      <c r="F56" s="5" t="s">
        <v>10</v>
      </c>
      <c r="G56" s="5" t="s">
        <v>11</v>
      </c>
      <c r="H56" s="3" t="s">
        <v>112</v>
      </c>
    </row>
    <row r="57" spans="1:8" ht="13.8" x14ac:dyDescent="0.25">
      <c r="A57" s="3" t="s">
        <v>8</v>
      </c>
      <c r="B57" s="3" t="s">
        <v>113</v>
      </c>
      <c r="C57" s="4" t="str">
        <f>HYPERLINK("http://www.rncp.cncp.gouv.fr/grand-public/visualisationFiche?format=fr&amp;fiche=21779","21779")</f>
        <v>21779</v>
      </c>
      <c r="D57" s="4" t="str">
        <f>HYPERLINK("http://www.intercariforef.org/formations/certification-84139.html","84139")</f>
        <v>84139</v>
      </c>
      <c r="E57" s="5">
        <v>162698</v>
      </c>
      <c r="F57" s="5" t="s">
        <v>10</v>
      </c>
      <c r="G57" s="5" t="s">
        <v>11</v>
      </c>
      <c r="H57" s="3" t="s">
        <v>114</v>
      </c>
    </row>
    <row r="58" spans="1:8" ht="13.8" x14ac:dyDescent="0.25">
      <c r="A58" s="3" t="s">
        <v>8</v>
      </c>
      <c r="B58" s="3" t="s">
        <v>115</v>
      </c>
      <c r="C58" s="4" t="str">
        <f>HYPERLINK("http://www.rncp.cncp.gouv.fr/grand-public/visualisationFiche?format=fr&amp;fiche=18022","18022")</f>
        <v>18022</v>
      </c>
      <c r="D58" s="4" t="str">
        <f>HYPERLINK("http://www.intercariforef.org/formations/certification-76225.html","76225")</f>
        <v>76225</v>
      </c>
      <c r="E58" s="5">
        <v>9582</v>
      </c>
      <c r="F58" s="5" t="s">
        <v>10</v>
      </c>
      <c r="G58" s="5" t="s">
        <v>11</v>
      </c>
      <c r="H58" s="3" t="s">
        <v>116</v>
      </c>
    </row>
    <row r="59" spans="1:8" ht="13.8" x14ac:dyDescent="0.25">
      <c r="A59" s="3" t="s">
        <v>8</v>
      </c>
      <c r="B59" s="3" t="s">
        <v>117</v>
      </c>
      <c r="C59" s="4" t="str">
        <f>HYPERLINK("http://www.rncp.cncp.gouv.fr/grand-public/visualisationFiche?format=fr&amp;fiche=14726","14726")</f>
        <v>14726</v>
      </c>
      <c r="D59" s="4" t="str">
        <f>HYPERLINK("http://www.intercariforef.org/formations/certification-77483.html","77483")</f>
        <v>77483</v>
      </c>
      <c r="E59" s="5">
        <v>16026</v>
      </c>
      <c r="F59" s="5" t="s">
        <v>10</v>
      </c>
      <c r="G59" s="5" t="s">
        <v>11</v>
      </c>
      <c r="H59" s="3" t="s">
        <v>118</v>
      </c>
    </row>
    <row r="60" spans="1:8" ht="13.8" x14ac:dyDescent="0.25">
      <c r="A60" s="3" t="s">
        <v>8</v>
      </c>
      <c r="B60" s="3" t="s">
        <v>119</v>
      </c>
      <c r="C60" s="4" t="str">
        <f>HYPERLINK("http://www.rncp.cncp.gouv.fr/grand-public/visualisationFiche?format=fr&amp;fiche=17275","17275")</f>
        <v>17275</v>
      </c>
      <c r="D60" s="4" t="str">
        <f>HYPERLINK("http://www.intercariforef.org/formations/certification-81580.html","81580")</f>
        <v>81580</v>
      </c>
      <c r="E60" s="5">
        <v>9583</v>
      </c>
      <c r="F60" s="5" t="s">
        <v>10</v>
      </c>
      <c r="G60" s="5" t="s">
        <v>11</v>
      </c>
      <c r="H60" s="3" t="s">
        <v>107</v>
      </c>
    </row>
    <row r="61" spans="1:8" ht="27.6" x14ac:dyDescent="0.25">
      <c r="A61" s="3" t="s">
        <v>8</v>
      </c>
      <c r="B61" s="3" t="s">
        <v>120</v>
      </c>
      <c r="C61" s="4" t="str">
        <f>HYPERLINK("http://www.rncp.cncp.gouv.fr/grand-public/visualisationFiche?format=fr&amp;fiche=4926","4926")</f>
        <v>4926</v>
      </c>
      <c r="D61" s="4" t="str">
        <f>HYPERLINK("http://www.intercariforef.org/formations/certification-54961.html","54961")</f>
        <v>54961</v>
      </c>
      <c r="E61" s="5">
        <v>131847</v>
      </c>
      <c r="F61" s="5" t="s">
        <v>10</v>
      </c>
      <c r="G61" s="5" t="s">
        <v>11</v>
      </c>
      <c r="H61" s="3" t="s">
        <v>121</v>
      </c>
    </row>
    <row r="62" spans="1:8" ht="13.8" x14ac:dyDescent="0.25">
      <c r="A62" s="3" t="s">
        <v>8</v>
      </c>
      <c r="B62" s="3" t="s">
        <v>122</v>
      </c>
      <c r="C62" s="4" t="str">
        <f>HYPERLINK("http://www.rncp.cncp.gouv.fr/grand-public/visualisationFiche?format=fr&amp;fiche=13709","13709")</f>
        <v>13709</v>
      </c>
      <c r="D62" s="4" t="str">
        <f>HYPERLINK("http://www.intercariforef.org/formations/certification-77016.html","77016")</f>
        <v>77016</v>
      </c>
      <c r="E62" s="5">
        <v>16037</v>
      </c>
      <c r="F62" s="5" t="s">
        <v>10</v>
      </c>
      <c r="G62" s="5" t="s">
        <v>11</v>
      </c>
      <c r="H62" s="3" t="s">
        <v>123</v>
      </c>
    </row>
    <row r="63" spans="1:8" ht="13.8" x14ac:dyDescent="0.25">
      <c r="A63" s="3" t="s">
        <v>8</v>
      </c>
      <c r="B63" s="3" t="s">
        <v>124</v>
      </c>
      <c r="C63" s="4" t="str">
        <f>HYPERLINK("http://www.rncp.cncp.gouv.fr/grand-public/visualisationFiche?format=fr&amp;fiche=15274","15274")</f>
        <v>15274</v>
      </c>
      <c r="D63" s="4" t="str">
        <f>HYPERLINK("http://www.intercariforef.org/formations/certification-79023.html","79023")</f>
        <v>79023</v>
      </c>
      <c r="E63" s="5">
        <v>16039</v>
      </c>
      <c r="F63" s="5" t="s">
        <v>10</v>
      </c>
      <c r="G63" s="5" t="s">
        <v>11</v>
      </c>
      <c r="H63" s="3" t="s">
        <v>125</v>
      </c>
    </row>
    <row r="64" spans="1:8" ht="13.8" x14ac:dyDescent="0.25">
      <c r="A64" s="3" t="s">
        <v>8</v>
      </c>
      <c r="B64" s="3" t="s">
        <v>126</v>
      </c>
      <c r="C64" s="4" t="str">
        <f>HYPERLINK("http://www.rncp.cncp.gouv.fr/grand-public/visualisationFiche?format=fr&amp;fiche=11543","11543")</f>
        <v>11543</v>
      </c>
      <c r="D64" s="4" t="str">
        <f>HYPERLINK("http://www.intercariforef.org/formations/certification-72734.html","72734")</f>
        <v>72734</v>
      </c>
      <c r="E64" s="5">
        <v>16046</v>
      </c>
      <c r="F64" s="5" t="s">
        <v>10</v>
      </c>
      <c r="G64" s="5" t="s">
        <v>11</v>
      </c>
      <c r="H64" s="3" t="s">
        <v>127</v>
      </c>
    </row>
    <row r="65" spans="1:8" ht="13.8" x14ac:dyDescent="0.25">
      <c r="A65" s="3" t="s">
        <v>8</v>
      </c>
      <c r="B65" s="3" t="s">
        <v>128</v>
      </c>
      <c r="C65" s="4" t="str">
        <f>HYPERLINK("http://www.rncp.cncp.gouv.fr/grand-public/visualisationFiche?format=fr&amp;fiche=9103","9103")</f>
        <v>9103</v>
      </c>
      <c r="D65" s="4" t="str">
        <f>HYPERLINK("http://www.intercariforef.org/formations/certification-64660.html","64660")</f>
        <v>64660</v>
      </c>
      <c r="E65" s="5">
        <v>16045</v>
      </c>
      <c r="F65" s="5" t="s">
        <v>10</v>
      </c>
      <c r="G65" s="5" t="s">
        <v>11</v>
      </c>
      <c r="H65" s="3" t="s">
        <v>129</v>
      </c>
    </row>
    <row r="66" spans="1:8" ht="13.8" x14ac:dyDescent="0.25">
      <c r="A66" s="3" t="s">
        <v>8</v>
      </c>
      <c r="B66" s="3" t="s">
        <v>130</v>
      </c>
      <c r="C66" s="4" t="str">
        <f>HYPERLINK("http://www.rncp.cncp.gouv.fr/grand-public/visualisationFiche?format=fr&amp;fiche=2164","2164")</f>
        <v>2164</v>
      </c>
      <c r="D66" s="4" t="str">
        <f>HYPERLINK("http://www.intercariforef.org/formations/certification-48070.html","48070")</f>
        <v>48070</v>
      </c>
      <c r="E66" s="5">
        <v>16044</v>
      </c>
      <c r="F66" s="5" t="s">
        <v>10</v>
      </c>
      <c r="G66" s="5" t="s">
        <v>11</v>
      </c>
      <c r="H66" s="3" t="s">
        <v>131</v>
      </c>
    </row>
    <row r="67" spans="1:8" ht="13.8" x14ac:dyDescent="0.25">
      <c r="A67" s="3" t="s">
        <v>8</v>
      </c>
      <c r="B67" s="3" t="s">
        <v>132</v>
      </c>
      <c r="C67" s="4" t="str">
        <f>HYPERLINK("http://www.rncp.cncp.gouv.fr/grand-public/visualisationFiche?format=fr&amp;fiche=16959","16959")</f>
        <v>16959</v>
      </c>
      <c r="D67" s="4" t="str">
        <f>HYPERLINK("http://www.intercariforef.org/formations/certification-81366.html","81366")</f>
        <v>81366</v>
      </c>
      <c r="E67" s="5">
        <v>9585</v>
      </c>
      <c r="F67" s="5" t="s">
        <v>10</v>
      </c>
      <c r="G67" s="5" t="s">
        <v>11</v>
      </c>
      <c r="H67" s="3" t="s">
        <v>133</v>
      </c>
    </row>
    <row r="68" spans="1:8" ht="13.8" x14ac:dyDescent="0.25">
      <c r="A68" s="3" t="s">
        <v>8</v>
      </c>
      <c r="B68" s="3" t="s">
        <v>134</v>
      </c>
      <c r="C68" s="4" t="str">
        <f>HYPERLINK("http://www.rncp.cncp.gouv.fr/grand-public/visualisationFiche?format=fr&amp;fiche=17285","17285")</f>
        <v>17285</v>
      </c>
      <c r="D68" s="4" t="str">
        <f>HYPERLINK("http://www.intercariforef.org/formations/certification-81629.html","81629")</f>
        <v>81629</v>
      </c>
      <c r="E68" s="5">
        <v>16048</v>
      </c>
      <c r="F68" s="5" t="s">
        <v>10</v>
      </c>
      <c r="G68" s="5" t="s">
        <v>11</v>
      </c>
      <c r="H68" s="3" t="s">
        <v>135</v>
      </c>
    </row>
    <row r="69" spans="1:8" ht="13.8" x14ac:dyDescent="0.25">
      <c r="A69" s="3" t="s">
        <v>8</v>
      </c>
      <c r="B69" s="3" t="s">
        <v>136</v>
      </c>
      <c r="C69" s="4" t="str">
        <f>HYPERLINK("http://www.rncp.cncp.gouv.fr/grand-public/visualisationFiche?format=fr&amp;fiche=17839","17839")</f>
        <v>17839</v>
      </c>
      <c r="D69" s="4" t="str">
        <f>HYPERLINK("http://www.intercariforef.org/formations/certification-82282.html","82282")</f>
        <v>82282</v>
      </c>
      <c r="E69" s="5">
        <v>131937</v>
      </c>
      <c r="F69" s="5" t="s">
        <v>10</v>
      </c>
      <c r="G69" s="5" t="s">
        <v>11</v>
      </c>
      <c r="H69" s="3" t="s">
        <v>137</v>
      </c>
    </row>
    <row r="70" spans="1:8" ht="13.8" x14ac:dyDescent="0.25">
      <c r="A70" s="3" t="s">
        <v>8</v>
      </c>
      <c r="B70" s="3" t="s">
        <v>138</v>
      </c>
      <c r="C70" s="4" t="str">
        <f>HYPERLINK("http://www.rncp.cncp.gouv.fr/grand-public/visualisationFiche?format=fr&amp;fiche=17286","17286")</f>
        <v>17286</v>
      </c>
      <c r="D70" s="4" t="str">
        <f>HYPERLINK("http://www.intercariforef.org/formations/certification-81423.html","81423")</f>
        <v>81423</v>
      </c>
      <c r="E70" s="5">
        <v>16049</v>
      </c>
      <c r="F70" s="5" t="s">
        <v>10</v>
      </c>
      <c r="G70" s="5" t="s">
        <v>11</v>
      </c>
      <c r="H70" s="3" t="s">
        <v>139</v>
      </c>
    </row>
    <row r="71" spans="1:8" ht="13.8" x14ac:dyDescent="0.25">
      <c r="A71" s="3" t="s">
        <v>8</v>
      </c>
      <c r="B71" s="3" t="s">
        <v>140</v>
      </c>
      <c r="C71" s="4" t="str">
        <f>HYPERLINK("http://www.rncp.cncp.gouv.fr/grand-public/visualisationFiche?format=fr&amp;fiche=15368","15368")</f>
        <v>15368</v>
      </c>
      <c r="D71" s="4" t="str">
        <f>HYPERLINK("http://www.intercariforef.org/formations/certification-79027.html","79027")</f>
        <v>79027</v>
      </c>
      <c r="E71" s="5">
        <v>9615</v>
      </c>
      <c r="F71" s="5" t="s">
        <v>10</v>
      </c>
      <c r="G71" s="5" t="s">
        <v>11</v>
      </c>
      <c r="H71" s="3" t="s">
        <v>102</v>
      </c>
    </row>
    <row r="72" spans="1:8" ht="13.8" x14ac:dyDescent="0.25">
      <c r="A72" s="3" t="s">
        <v>8</v>
      </c>
      <c r="B72" s="3" t="s">
        <v>141</v>
      </c>
      <c r="C72" s="4" t="str">
        <f>HYPERLINK("http://www.rncp.cncp.gouv.fr/grand-public/visualisationFiche?format=fr&amp;fiche=19216","19216")</f>
        <v>19216</v>
      </c>
      <c r="D72" s="4" t="str">
        <f>HYPERLINK("http://www.intercariforef.org/formations/certification-83209.html","83209")</f>
        <v>83209</v>
      </c>
      <c r="E72" s="5">
        <v>9614</v>
      </c>
      <c r="F72" s="5" t="s">
        <v>10</v>
      </c>
      <c r="G72" s="5" t="s">
        <v>11</v>
      </c>
      <c r="H72" s="3" t="s">
        <v>142</v>
      </c>
    </row>
    <row r="73" spans="1:8" ht="13.8" x14ac:dyDescent="0.25">
      <c r="A73" s="3" t="s">
        <v>8</v>
      </c>
      <c r="B73" s="3" t="s">
        <v>143</v>
      </c>
      <c r="C73" s="4" t="str">
        <f>HYPERLINK("http://www.rncp.cncp.gouv.fr/grand-public/visualisationFiche?format=fr&amp;fiche=22101","22101")</f>
        <v>22101</v>
      </c>
      <c r="D73" s="4" t="str">
        <f>HYPERLINK("http://www.intercariforef.org/formations/certification-81630.html","81630")</f>
        <v>81630</v>
      </c>
      <c r="E73" s="5">
        <v>16035</v>
      </c>
      <c r="F73" s="5" t="s">
        <v>10</v>
      </c>
      <c r="G73" s="5" t="s">
        <v>11</v>
      </c>
      <c r="H73" s="3" t="s">
        <v>144</v>
      </c>
    </row>
    <row r="74" spans="1:8" ht="27.6" x14ac:dyDescent="0.25">
      <c r="A74" s="3" t="s">
        <v>8</v>
      </c>
      <c r="B74" s="3" t="s">
        <v>145</v>
      </c>
      <c r="C74" s="4" t="str">
        <f>HYPERLINK("http://www.rncp.cncp.gouv.fr/grand-public/visualisationFiche?format=fr&amp;fiche=18197","18197")</f>
        <v>18197</v>
      </c>
      <c r="D74" s="4" t="str">
        <f>HYPERLINK("http://www.intercariforef.org/formations/certification-82611.html","82611")</f>
        <v>82611</v>
      </c>
      <c r="E74" s="5">
        <v>16051</v>
      </c>
      <c r="F74" s="5" t="s">
        <v>10</v>
      </c>
      <c r="G74" s="5" t="s">
        <v>11</v>
      </c>
      <c r="H74" s="3" t="s">
        <v>146</v>
      </c>
    </row>
    <row r="75" spans="1:8" ht="27.6" x14ac:dyDescent="0.25">
      <c r="A75" s="3" t="s">
        <v>8</v>
      </c>
      <c r="B75" s="3" t="s">
        <v>147</v>
      </c>
      <c r="C75" s="4" t="str">
        <f>HYPERLINK("http://www.rncp.cncp.gouv.fr/grand-public/visualisationFiche?format=fr&amp;fiche=18527","18527")</f>
        <v>18527</v>
      </c>
      <c r="D75" s="4" t="str">
        <f>HYPERLINK("http://www.intercariforef.org/formations/certification-52707.html","52707")</f>
        <v>52707</v>
      </c>
      <c r="E75" s="5">
        <v>16199</v>
      </c>
      <c r="F75" s="5" t="s">
        <v>10</v>
      </c>
      <c r="G75" s="5" t="s">
        <v>11</v>
      </c>
      <c r="H75" s="3" t="s">
        <v>148</v>
      </c>
    </row>
    <row r="76" spans="1:8" ht="13.8" x14ac:dyDescent="0.25">
      <c r="A76" s="3" t="s">
        <v>8</v>
      </c>
      <c r="B76" s="3" t="s">
        <v>149</v>
      </c>
      <c r="C76" s="4" t="str">
        <f>HYPERLINK("http://www.rncp.cncp.gouv.fr/grand-public/visualisationFiche?format=fr&amp;fiche=19073","19073")</f>
        <v>19073</v>
      </c>
      <c r="D76" s="4" t="str">
        <f>HYPERLINK("http://www.intercariforef.org/formations/certification-81652.html","81652")</f>
        <v>81652</v>
      </c>
      <c r="E76" s="5">
        <v>9517</v>
      </c>
      <c r="F76" s="5" t="s">
        <v>10</v>
      </c>
      <c r="G76" s="5" t="s">
        <v>11</v>
      </c>
      <c r="H76" s="3" t="s">
        <v>150</v>
      </c>
    </row>
    <row r="77" spans="1:8" ht="27.6" x14ac:dyDescent="0.25">
      <c r="A77" s="3" t="s">
        <v>8</v>
      </c>
      <c r="B77" s="3" t="s">
        <v>151</v>
      </c>
      <c r="C77" s="4" t="str">
        <f>HYPERLINK("http://www.rncp.cncp.gouv.fr/grand-public/visualisationFiche?format=fr&amp;fiche=13209","13209")</f>
        <v>13209</v>
      </c>
      <c r="D77" s="4" t="str">
        <f>HYPERLINK("http://www.intercariforef.org/formations/certification-74828.html","74828")</f>
        <v>74828</v>
      </c>
      <c r="E77" s="5">
        <v>13922</v>
      </c>
      <c r="F77" s="5" t="s">
        <v>10</v>
      </c>
      <c r="G77" s="5" t="s">
        <v>11</v>
      </c>
      <c r="H77" s="3" t="s">
        <v>152</v>
      </c>
    </row>
    <row r="78" spans="1:8" ht="13.8" x14ac:dyDescent="0.25">
      <c r="A78" s="3" t="s">
        <v>8</v>
      </c>
      <c r="B78" s="3" t="s">
        <v>153</v>
      </c>
      <c r="C78" s="4" t="str">
        <f>HYPERLINK("http://www.rncp.cncp.gouv.fr/grand-public/visualisationFiche?format=fr&amp;fiche=17051","17051")</f>
        <v>17051</v>
      </c>
      <c r="D78" s="4" t="str">
        <f>HYPERLINK("http://www.intercariforef.org/formations/certification-12757.html","12757")</f>
        <v>12757</v>
      </c>
      <c r="E78" s="5">
        <v>12267</v>
      </c>
      <c r="F78" s="5" t="s">
        <v>10</v>
      </c>
      <c r="G78" s="5" t="s">
        <v>11</v>
      </c>
      <c r="H78" s="3" t="s">
        <v>154</v>
      </c>
    </row>
    <row r="79" spans="1:8" ht="27.6" x14ac:dyDescent="0.25">
      <c r="A79" s="3" t="s">
        <v>8</v>
      </c>
      <c r="B79" s="3" t="s">
        <v>155</v>
      </c>
      <c r="C79" s="4" t="str">
        <f>HYPERLINK("http://www.rncp.cncp.gouv.fr/grand-public/visualisationFiche?format=fr&amp;fiche=17041","17041")</f>
        <v>17041</v>
      </c>
      <c r="D79" s="4" t="str">
        <f>HYPERLINK("http://www.intercariforef.org/formations/certification-54329.html","54329")</f>
        <v>54329</v>
      </c>
      <c r="E79" s="5">
        <v>12266</v>
      </c>
      <c r="F79" s="5" t="s">
        <v>10</v>
      </c>
      <c r="G79" s="5" t="s">
        <v>11</v>
      </c>
      <c r="H79" s="3" t="s">
        <v>156</v>
      </c>
    </row>
    <row r="80" spans="1:8" ht="13.8" x14ac:dyDescent="0.25">
      <c r="A80" s="3" t="s">
        <v>8</v>
      </c>
      <c r="B80" s="3" t="s">
        <v>157</v>
      </c>
      <c r="C80" s="4" t="str">
        <f>HYPERLINK("http://www.rncp.cncp.gouv.fr/grand-public/visualisationFiche?format=fr&amp;fiche=14871","14871")</f>
        <v>14871</v>
      </c>
      <c r="D80" s="4" t="str">
        <f>HYPERLINK("http://www.intercariforef.org/formations/certification-74731.html","74731")</f>
        <v>74731</v>
      </c>
      <c r="E80" s="5">
        <v>12268</v>
      </c>
      <c r="F80" s="5" t="s">
        <v>10</v>
      </c>
      <c r="G80" s="5" t="s">
        <v>11</v>
      </c>
      <c r="H80" s="3" t="s">
        <v>158</v>
      </c>
    </row>
    <row r="81" spans="1:8" ht="13.8" x14ac:dyDescent="0.25">
      <c r="A81" s="3" t="s">
        <v>8</v>
      </c>
      <c r="B81" s="3" t="s">
        <v>159</v>
      </c>
      <c r="C81" s="4" t="str">
        <f>HYPERLINK("http://www.rncp.cncp.gouv.fr/grand-public/visualisationFiche?format=fr&amp;fiche=4367","4367")</f>
        <v>4367</v>
      </c>
      <c r="D81" s="4" t="str">
        <f>HYPERLINK("http://www.intercariforef.org/formations/certification-12719.html","12719")</f>
        <v>12719</v>
      </c>
      <c r="E81" s="5">
        <v>11756</v>
      </c>
      <c r="F81" s="5" t="s">
        <v>10</v>
      </c>
      <c r="G81" s="5" t="s">
        <v>11</v>
      </c>
      <c r="H81" s="3" t="s">
        <v>160</v>
      </c>
    </row>
    <row r="82" spans="1:8" ht="13.8" x14ac:dyDescent="0.25">
      <c r="A82" s="3" t="s">
        <v>8</v>
      </c>
      <c r="B82" s="3" t="s">
        <v>161</v>
      </c>
      <c r="C82" s="4" t="str">
        <f>HYPERLINK("http://www.rncp.cncp.gouv.fr/grand-public/visualisationFiche?format=fr&amp;fiche=14670","14670")</f>
        <v>14670</v>
      </c>
      <c r="D82" s="4" t="str">
        <f>HYPERLINK("http://www.intercariforef.org/formations/certification-12721.html","12721")</f>
        <v>12721</v>
      </c>
      <c r="E82" s="5">
        <v>12270</v>
      </c>
      <c r="F82" s="5" t="s">
        <v>10</v>
      </c>
      <c r="G82" s="5" t="s">
        <v>11</v>
      </c>
      <c r="H82" s="3" t="s">
        <v>162</v>
      </c>
    </row>
    <row r="83" spans="1:8" ht="13.8" x14ac:dyDescent="0.25">
      <c r="A83" s="3" t="s">
        <v>8</v>
      </c>
      <c r="B83" s="3" t="s">
        <v>163</v>
      </c>
      <c r="C83" s="4" t="str">
        <f>HYPERLINK("http://www.rncp.cncp.gouv.fr/grand-public/visualisationFiche?format=fr&amp;fiche=16986","16986")</f>
        <v>16986</v>
      </c>
      <c r="D83" s="4" t="str">
        <f>HYPERLINK("http://www.intercariforef.org/formations/certification-12723.html","12723")</f>
        <v>12723</v>
      </c>
      <c r="E83" s="5">
        <v>12271</v>
      </c>
      <c r="F83" s="5" t="s">
        <v>10</v>
      </c>
      <c r="G83" s="5" t="s">
        <v>11</v>
      </c>
      <c r="H83" s="3" t="s">
        <v>164</v>
      </c>
    </row>
    <row r="84" spans="1:8" ht="27.6" x14ac:dyDescent="0.25">
      <c r="A84" s="3" t="s">
        <v>8</v>
      </c>
      <c r="B84" s="3" t="s">
        <v>165</v>
      </c>
      <c r="C84" s="4" t="str">
        <f>HYPERLINK("http://www.rncp.cncp.gouv.fr/grand-public/visualisationFiche?format=fr&amp;fiche=16861","16861")</f>
        <v>16861</v>
      </c>
      <c r="D84" s="4" t="str">
        <f>HYPERLINK("http://www.intercariforef.org/formations/certification-77694.html","77694")</f>
        <v>77694</v>
      </c>
      <c r="E84" s="5">
        <v>12275</v>
      </c>
      <c r="F84" s="5" t="s">
        <v>10</v>
      </c>
      <c r="G84" s="5" t="s">
        <v>11</v>
      </c>
      <c r="H84" s="3" t="s">
        <v>166</v>
      </c>
    </row>
    <row r="85" spans="1:8" ht="13.8" x14ac:dyDescent="0.25">
      <c r="A85" s="3" t="s">
        <v>8</v>
      </c>
      <c r="B85" s="3" t="s">
        <v>167</v>
      </c>
      <c r="C85" s="4" t="str">
        <f>HYPERLINK("http://www.rncp.cncp.gouv.fr/grand-public/visualisationFiche?format=fr&amp;fiche=15538","15538")</f>
        <v>15538</v>
      </c>
      <c r="D85" s="4" t="str">
        <f>HYPERLINK("http://www.intercariforef.org/formations/certification-12754.html","12754")</f>
        <v>12754</v>
      </c>
      <c r="E85" s="5">
        <v>12272</v>
      </c>
      <c r="F85" s="5" t="s">
        <v>10</v>
      </c>
      <c r="G85" s="5" t="s">
        <v>11</v>
      </c>
      <c r="H85" s="3" t="s">
        <v>168</v>
      </c>
    </row>
    <row r="86" spans="1:8" ht="13.8" x14ac:dyDescent="0.25">
      <c r="A86" s="3" t="s">
        <v>8</v>
      </c>
      <c r="B86" s="3" t="s">
        <v>169</v>
      </c>
      <c r="C86" s="4" t="str">
        <f>HYPERLINK("http://www.rncp.cncp.gouv.fr/grand-public/visualisationFiche?format=fr&amp;fiche=17327","17327")</f>
        <v>17327</v>
      </c>
      <c r="D86" s="4" t="str">
        <f>HYPERLINK("http://www.intercariforef.org/formations/certification-47465.html","47465")</f>
        <v>47465</v>
      </c>
      <c r="E86" s="5">
        <v>12276</v>
      </c>
      <c r="F86" s="5" t="s">
        <v>10</v>
      </c>
      <c r="G86" s="5" t="s">
        <v>11</v>
      </c>
      <c r="H86" s="3" t="s">
        <v>170</v>
      </c>
    </row>
    <row r="87" spans="1:8" ht="27.6" x14ac:dyDescent="0.25">
      <c r="A87" s="3" t="s">
        <v>8</v>
      </c>
      <c r="B87" s="3" t="s">
        <v>171</v>
      </c>
      <c r="C87" s="4" t="str">
        <f>HYPERLINK("http://www.rncp.cncp.gouv.fr/grand-public/visualisationFiche?format=fr&amp;fiche=17700","17700")</f>
        <v>17700</v>
      </c>
      <c r="D87" s="4" t="str">
        <f>HYPERLINK("http://www.intercariforef.org/formations/certification-47529.html","47529")</f>
        <v>47529</v>
      </c>
      <c r="E87" s="5">
        <v>12274</v>
      </c>
      <c r="F87" s="5" t="s">
        <v>10</v>
      </c>
      <c r="G87" s="5" t="s">
        <v>11</v>
      </c>
      <c r="H87" s="3" t="s">
        <v>172</v>
      </c>
    </row>
    <row r="88" spans="1:8" ht="27.6" x14ac:dyDescent="0.25">
      <c r="A88" s="3" t="s">
        <v>8</v>
      </c>
      <c r="B88" s="3" t="s">
        <v>173</v>
      </c>
      <c r="C88" s="4" t="str">
        <f>HYPERLINK("http://www.rncp.cncp.gouv.fr/grand-public/visualisationFiche?format=fr&amp;fiche=17696","17696")</f>
        <v>17696</v>
      </c>
      <c r="D88" s="4" t="str">
        <f>HYPERLINK("http://www.intercariforef.org/formations/certification-47418.html","47418")</f>
        <v>47418</v>
      </c>
      <c r="E88" s="5">
        <v>12273</v>
      </c>
      <c r="F88" s="5" t="s">
        <v>10</v>
      </c>
      <c r="G88" s="5" t="s">
        <v>11</v>
      </c>
      <c r="H88" s="3" t="s">
        <v>172</v>
      </c>
    </row>
    <row r="89" spans="1:8" ht="13.8" x14ac:dyDescent="0.25">
      <c r="A89" s="3" t="s">
        <v>8</v>
      </c>
      <c r="B89" s="3" t="s">
        <v>174</v>
      </c>
      <c r="C89" s="4" t="str">
        <f>HYPERLINK("http://www.rncp.cncp.gouv.fr/grand-public/visualisationFiche?format=fr&amp;fiche=7124","7124")</f>
        <v>7124</v>
      </c>
      <c r="D89" s="4" t="str">
        <f>HYPERLINK("http://www.intercariforef.org/formations/certification-12725.html","12725")</f>
        <v>12725</v>
      </c>
      <c r="E89" s="5">
        <v>11983</v>
      </c>
      <c r="F89" s="5" t="s">
        <v>10</v>
      </c>
      <c r="G89" s="5" t="s">
        <v>11</v>
      </c>
      <c r="H89" s="3" t="s">
        <v>175</v>
      </c>
    </row>
    <row r="90" spans="1:8" ht="13.8" x14ac:dyDescent="0.25">
      <c r="A90" s="3" t="s">
        <v>8</v>
      </c>
      <c r="B90" s="3" t="s">
        <v>176</v>
      </c>
      <c r="C90" s="4" t="str">
        <f>HYPERLINK("http://www.rncp.cncp.gouv.fr/grand-public/visualisationFiche?format=fr&amp;fiche=16044","16044")</f>
        <v>16044</v>
      </c>
      <c r="D90" s="4" t="str">
        <f>HYPERLINK("http://www.intercariforef.org/formations/certification-47576.html","47576")</f>
        <v>47576</v>
      </c>
      <c r="E90" s="5">
        <v>12424</v>
      </c>
      <c r="F90" s="5" t="s">
        <v>10</v>
      </c>
      <c r="G90" s="5" t="s">
        <v>11</v>
      </c>
      <c r="H90" s="3" t="s">
        <v>177</v>
      </c>
    </row>
    <row r="91" spans="1:8" ht="27.6" x14ac:dyDescent="0.25">
      <c r="A91" s="3" t="s">
        <v>8</v>
      </c>
      <c r="B91" s="3" t="s">
        <v>178</v>
      </c>
      <c r="C91" s="4" t="str">
        <f>HYPERLINK("http://www.rncp.cncp.gouv.fr/grand-public/visualisationFiche?format=fr&amp;fiche=16045","16045")</f>
        <v>16045</v>
      </c>
      <c r="D91" s="4" t="str">
        <f>HYPERLINK("http://www.intercariforef.org/formations/certification-64093.html","64093")</f>
        <v>64093</v>
      </c>
      <c r="E91" s="5">
        <v>12425</v>
      </c>
      <c r="F91" s="5" t="s">
        <v>10</v>
      </c>
      <c r="G91" s="5" t="s">
        <v>11</v>
      </c>
      <c r="H91" s="3" t="s">
        <v>177</v>
      </c>
    </row>
    <row r="92" spans="1:8" ht="13.8" x14ac:dyDescent="0.25">
      <c r="A92" s="3" t="s">
        <v>8</v>
      </c>
      <c r="B92" s="3" t="s">
        <v>179</v>
      </c>
      <c r="C92" s="4" t="str">
        <f>HYPERLINK("http://www.rncp.cncp.gouv.fr/grand-public/visualisationFiche?format=fr&amp;fiche=4216","4216")</f>
        <v>4216</v>
      </c>
      <c r="D92" s="4" t="str">
        <f>HYPERLINK("http://www.intercariforef.org/formations/certification-47662.html","47662")</f>
        <v>47662</v>
      </c>
      <c r="E92" s="5">
        <v>12906</v>
      </c>
      <c r="F92" s="5" t="s">
        <v>10</v>
      </c>
      <c r="G92" s="5" t="s">
        <v>11</v>
      </c>
      <c r="H92" s="3" t="s">
        <v>180</v>
      </c>
    </row>
    <row r="93" spans="1:8" ht="13.8" x14ac:dyDescent="0.25">
      <c r="A93" s="3" t="s">
        <v>8</v>
      </c>
      <c r="B93" s="3" t="s">
        <v>181</v>
      </c>
      <c r="C93" s="4" t="str">
        <f>HYPERLINK("http://www.rncp.cncp.gouv.fr/grand-public/visualisationFiche?format=fr&amp;fiche=9421","9421")</f>
        <v>9421</v>
      </c>
      <c r="D93" s="4" t="str">
        <f>HYPERLINK("http://www.intercariforef.org/formations/certification-59102.html","59102")</f>
        <v>59102</v>
      </c>
      <c r="E93" s="5">
        <v>12376</v>
      </c>
      <c r="F93" s="5" t="s">
        <v>10</v>
      </c>
      <c r="G93" s="5" t="s">
        <v>11</v>
      </c>
      <c r="H93" s="3" t="s">
        <v>182</v>
      </c>
    </row>
    <row r="94" spans="1:8" ht="13.8" x14ac:dyDescent="0.25">
      <c r="A94" s="3" t="s">
        <v>8</v>
      </c>
      <c r="B94" s="3" t="s">
        <v>183</v>
      </c>
      <c r="C94" s="4" t="str">
        <f>HYPERLINK("http://www.rncp.cncp.gouv.fr/grand-public/visualisationFiche?format=fr&amp;fiche=9519","9519")</f>
        <v>9519</v>
      </c>
      <c r="D94" s="4" t="str">
        <f>HYPERLINK("http://www.intercariforef.org/formations/certification-53313.html","53313")</f>
        <v>53313</v>
      </c>
      <c r="E94" s="5">
        <v>12377</v>
      </c>
      <c r="F94" s="5" t="s">
        <v>10</v>
      </c>
      <c r="G94" s="5" t="s">
        <v>11</v>
      </c>
      <c r="H94" s="3" t="s">
        <v>184</v>
      </c>
    </row>
    <row r="95" spans="1:8" ht="27.6" x14ac:dyDescent="0.25">
      <c r="A95" s="3" t="s">
        <v>8</v>
      </c>
      <c r="B95" s="3" t="s">
        <v>185</v>
      </c>
      <c r="C95" s="4" t="str">
        <f>HYPERLINK("http://www.rncp.cncp.gouv.fr/grand-public/visualisationFiche?format=fr&amp;fiche=17506","17506")</f>
        <v>17506</v>
      </c>
      <c r="D95" s="4" t="str">
        <f>HYPERLINK("http://www.intercariforef.org/formations/certification-62737.html","62737")</f>
        <v>62737</v>
      </c>
      <c r="E95" s="5">
        <v>12277</v>
      </c>
      <c r="F95" s="5" t="s">
        <v>10</v>
      </c>
      <c r="G95" s="5" t="s">
        <v>11</v>
      </c>
      <c r="H95" s="3" t="s">
        <v>186</v>
      </c>
    </row>
    <row r="96" spans="1:8" ht="27.6" x14ac:dyDescent="0.25">
      <c r="A96" s="3" t="s">
        <v>8</v>
      </c>
      <c r="B96" s="3" t="s">
        <v>187</v>
      </c>
      <c r="C96" s="4" t="str">
        <f>HYPERLINK("http://www.rncp.cncp.gouv.fr/grand-public/visualisationFiche?format=fr&amp;fiche=17538","17538")</f>
        <v>17538</v>
      </c>
      <c r="D96" s="4" t="str">
        <f>HYPERLINK("http://www.intercariforef.org/formations/certification-74798.html","74798")</f>
        <v>74798</v>
      </c>
      <c r="E96" s="5">
        <v>12278</v>
      </c>
      <c r="F96" s="5" t="s">
        <v>10</v>
      </c>
      <c r="G96" s="5" t="s">
        <v>11</v>
      </c>
      <c r="H96" s="3" t="s">
        <v>186</v>
      </c>
    </row>
    <row r="97" spans="1:8" ht="13.8" x14ac:dyDescent="0.25">
      <c r="A97" s="3" t="s">
        <v>8</v>
      </c>
      <c r="B97" s="3" t="s">
        <v>188</v>
      </c>
      <c r="C97" s="4" t="str">
        <f>HYPERLINK("http://www.rncp.cncp.gouv.fr/grand-public/visualisationFiche?format=fr&amp;fiche=1987","1987")</f>
        <v>1987</v>
      </c>
      <c r="D97" s="4" t="str">
        <f>HYPERLINK("http://www.intercariforef.org/formations/certification-62774.html","62774")</f>
        <v>62774</v>
      </c>
      <c r="E97" s="5">
        <v>145424</v>
      </c>
      <c r="F97" s="5" t="s">
        <v>10</v>
      </c>
      <c r="G97" s="5" t="s">
        <v>11</v>
      </c>
      <c r="H97" s="3" t="s">
        <v>189</v>
      </c>
    </row>
    <row r="98" spans="1:8" ht="13.8" x14ac:dyDescent="0.25">
      <c r="A98" s="3" t="s">
        <v>8</v>
      </c>
      <c r="B98" s="3" t="s">
        <v>190</v>
      </c>
      <c r="C98" s="4" t="str">
        <f>HYPERLINK("http://www.rncp.cncp.gouv.fr/grand-public/visualisationFiche?format=fr&amp;fiche=22048","22048")</f>
        <v>22048</v>
      </c>
      <c r="D98" s="4" t="str">
        <f>HYPERLINK("http://www.intercariforef.org/formations/certification-12740.html","12740")</f>
        <v>12740</v>
      </c>
      <c r="E98" s="5">
        <v>12375</v>
      </c>
      <c r="F98" s="5" t="s">
        <v>10</v>
      </c>
      <c r="G98" s="5" t="s">
        <v>11</v>
      </c>
      <c r="H98" s="3" t="s">
        <v>191</v>
      </c>
    </row>
    <row r="99" spans="1:8" ht="27.6" x14ac:dyDescent="0.25">
      <c r="A99" s="3" t="s">
        <v>8</v>
      </c>
      <c r="B99" s="3" t="s">
        <v>192</v>
      </c>
      <c r="C99" s="4" t="str">
        <f>HYPERLINK("http://www.rncp.cncp.gouv.fr/grand-public/visualisationFiche?format=fr&amp;fiche=17505","17505")</f>
        <v>17505</v>
      </c>
      <c r="D99" s="4" t="str">
        <f>HYPERLINK("http://www.intercariforef.org/formations/certification-12749.html","12749")</f>
        <v>12749</v>
      </c>
      <c r="E99" s="5">
        <v>12082</v>
      </c>
      <c r="F99" s="5" t="s">
        <v>10</v>
      </c>
      <c r="G99" s="5" t="s">
        <v>11</v>
      </c>
      <c r="H99" s="3" t="s">
        <v>193</v>
      </c>
    </row>
    <row r="100" spans="1:8" ht="13.8" x14ac:dyDescent="0.25">
      <c r="A100" s="3" t="s">
        <v>8</v>
      </c>
      <c r="B100" s="3" t="s">
        <v>194</v>
      </c>
      <c r="C100" s="4" t="str">
        <f>HYPERLINK("http://www.rncp.cncp.gouv.fr/grand-public/visualisationFiche?format=fr&amp;fiche=15638","15638")</f>
        <v>15638</v>
      </c>
      <c r="D100" s="4" t="str">
        <f>HYPERLINK("http://www.intercariforef.org/formations/certification-58990.html","58990")</f>
        <v>58990</v>
      </c>
      <c r="E100" s="5">
        <v>12265</v>
      </c>
      <c r="F100" s="5" t="s">
        <v>10</v>
      </c>
      <c r="G100" s="5" t="s">
        <v>11</v>
      </c>
      <c r="H100" s="3" t="s">
        <v>195</v>
      </c>
    </row>
    <row r="101" spans="1:8" ht="27.6" x14ac:dyDescent="0.25">
      <c r="A101" s="3" t="s">
        <v>8</v>
      </c>
      <c r="B101" s="3" t="s">
        <v>196</v>
      </c>
      <c r="C101" s="4" t="str">
        <f>HYPERLINK("http://www.rncp.cncp.gouv.fr/grand-public/visualisationFiche?format=fr&amp;fiche=16439","16439")</f>
        <v>16439</v>
      </c>
      <c r="D101" s="4" t="str">
        <f>HYPERLINK("http://www.intercariforef.org/formations/certification-78462.html","78462")</f>
        <v>78462</v>
      </c>
      <c r="E101" s="5">
        <v>131846</v>
      </c>
      <c r="F101" s="5" t="s">
        <v>10</v>
      </c>
      <c r="G101" s="5" t="s">
        <v>11</v>
      </c>
      <c r="H101" s="3" t="s">
        <v>197</v>
      </c>
    </row>
    <row r="102" spans="1:8" ht="13.8" x14ac:dyDescent="0.25">
      <c r="A102" s="3" t="s">
        <v>8</v>
      </c>
      <c r="B102" s="3" t="s">
        <v>198</v>
      </c>
      <c r="C102" s="4" t="str">
        <f>HYPERLINK("http://www.rncp.cncp.gouv.fr/grand-public/visualisationFiche?format=fr&amp;fiche=4218","4218")</f>
        <v>4218</v>
      </c>
      <c r="D102" s="4" t="str">
        <f>HYPERLINK("http://www.intercariforef.org/formations/certification-47439.html","47439")</f>
        <v>47439</v>
      </c>
      <c r="E102" s="5">
        <v>12378</v>
      </c>
      <c r="F102" s="5" t="s">
        <v>10</v>
      </c>
      <c r="G102" s="5" t="s">
        <v>11</v>
      </c>
      <c r="H102" s="3" t="s">
        <v>199</v>
      </c>
    </row>
    <row r="103" spans="1:8" ht="13.8" x14ac:dyDescent="0.25">
      <c r="A103" s="3" t="s">
        <v>8</v>
      </c>
      <c r="B103" s="3" t="s">
        <v>200</v>
      </c>
      <c r="C103" s="4" t="str">
        <f>HYPERLINK("http://www.rncp.cncp.gouv.fr/grand-public/visualisationFiche?format=fr&amp;fiche=4580","4580")</f>
        <v>4580</v>
      </c>
      <c r="D103" s="4" t="str">
        <f>HYPERLINK("http://www.intercariforef.org/formations/certification-58985.html","58985")</f>
        <v>58985</v>
      </c>
      <c r="E103" s="5">
        <v>12385</v>
      </c>
      <c r="F103" s="5" t="s">
        <v>10</v>
      </c>
      <c r="G103" s="5" t="s">
        <v>11</v>
      </c>
      <c r="H103" s="3" t="s">
        <v>201</v>
      </c>
    </row>
    <row r="104" spans="1:8" ht="13.8" x14ac:dyDescent="0.25">
      <c r="A104" s="3" t="s">
        <v>8</v>
      </c>
      <c r="B104" s="3" t="s">
        <v>202</v>
      </c>
      <c r="C104" s="4" t="str">
        <f>HYPERLINK("http://www.rncp.cncp.gouv.fr/grand-public/visualisationFiche?format=fr&amp;fiche=13875","13875")</f>
        <v>13875</v>
      </c>
      <c r="D104" s="4" t="str">
        <f>HYPERLINK("http://www.intercariforef.org/formations/certification-12769.html","12769")</f>
        <v>12769</v>
      </c>
      <c r="E104" s="5">
        <v>13162</v>
      </c>
      <c r="F104" s="5" t="s">
        <v>10</v>
      </c>
      <c r="G104" s="5" t="s">
        <v>11</v>
      </c>
      <c r="H104" s="3" t="s">
        <v>203</v>
      </c>
    </row>
    <row r="105" spans="1:8" ht="13.8" x14ac:dyDescent="0.25">
      <c r="A105" s="3" t="s">
        <v>8</v>
      </c>
      <c r="B105" s="3" t="s">
        <v>204</v>
      </c>
      <c r="C105" s="4" t="str">
        <f>HYPERLINK("http://www.rncp.cncp.gouv.fr/grand-public/visualisationFiche?format=fr&amp;fiche=9644","9644")</f>
        <v>9644</v>
      </c>
      <c r="D105" s="4" t="str">
        <f>HYPERLINK("http://www.intercariforef.org/formations/certification-12772.html","12772")</f>
        <v>12772</v>
      </c>
      <c r="E105" s="5">
        <v>12380</v>
      </c>
      <c r="F105" s="5" t="s">
        <v>10</v>
      </c>
      <c r="G105" s="5" t="s">
        <v>11</v>
      </c>
      <c r="H105" s="3" t="s">
        <v>205</v>
      </c>
    </row>
    <row r="106" spans="1:8" ht="27.6" x14ac:dyDescent="0.25">
      <c r="A106" s="3" t="s">
        <v>8</v>
      </c>
      <c r="B106" s="3" t="s">
        <v>206</v>
      </c>
      <c r="C106" s="4" t="str">
        <f>HYPERLINK("http://www.rncp.cncp.gouv.fr/grand-public/visualisationFiche?format=fr&amp;fiche=4269","4269")</f>
        <v>4269</v>
      </c>
      <c r="D106" s="4" t="str">
        <f>HYPERLINK("http://www.intercariforef.org/formations/certification-66271.html","66271")</f>
        <v>66271</v>
      </c>
      <c r="E106" s="5">
        <v>12381</v>
      </c>
      <c r="F106" s="5" t="s">
        <v>10</v>
      </c>
      <c r="G106" s="5" t="s">
        <v>11</v>
      </c>
      <c r="H106" s="3" t="s">
        <v>207</v>
      </c>
    </row>
    <row r="107" spans="1:8" ht="27.6" x14ac:dyDescent="0.25">
      <c r="A107" s="3" t="s">
        <v>8</v>
      </c>
      <c r="B107" s="3" t="s">
        <v>208</v>
      </c>
      <c r="C107" s="4" t="str">
        <f>HYPERLINK("http://www.rncp.cncp.gouv.fr/grand-public/visualisationFiche?format=fr&amp;fiche=4268","4268")</f>
        <v>4268</v>
      </c>
      <c r="D107" s="4" t="str">
        <f>HYPERLINK("http://www.intercariforef.org/formations/certification-47689.html","47689")</f>
        <v>47689</v>
      </c>
      <c r="E107" s="5">
        <v>12382</v>
      </c>
      <c r="F107" s="5" t="s">
        <v>10</v>
      </c>
      <c r="G107" s="5" t="s">
        <v>11</v>
      </c>
      <c r="H107" s="3" t="s">
        <v>207</v>
      </c>
    </row>
    <row r="108" spans="1:8" ht="27.6" x14ac:dyDescent="0.25">
      <c r="A108" s="3" t="s">
        <v>8</v>
      </c>
      <c r="B108" s="3" t="s">
        <v>209</v>
      </c>
      <c r="C108" s="4" t="str">
        <f>HYPERLINK("http://www.rncp.cncp.gouv.fr/grand-public/visualisationFiche?format=fr&amp;fiche=16515","16515")</f>
        <v>16515</v>
      </c>
      <c r="D108" s="4" t="str">
        <f>HYPERLINK("http://www.intercariforef.org/formations/certification-12775.html","12775")</f>
        <v>12775</v>
      </c>
      <c r="E108" s="5">
        <v>12384</v>
      </c>
      <c r="F108" s="5" t="s">
        <v>10</v>
      </c>
      <c r="G108" s="5" t="s">
        <v>11</v>
      </c>
      <c r="H108" s="3" t="s">
        <v>210</v>
      </c>
    </row>
    <row r="109" spans="1:8" ht="27.6" x14ac:dyDescent="0.25">
      <c r="A109" s="3" t="s">
        <v>8</v>
      </c>
      <c r="B109" s="3" t="s">
        <v>211</v>
      </c>
      <c r="C109" s="5"/>
      <c r="D109" s="4" t="str">
        <f>HYPERLINK("http://www.intercariforef.org/formations/certification-12680.html","12680")</f>
        <v>12680</v>
      </c>
      <c r="E109" s="5">
        <v>12383</v>
      </c>
      <c r="F109" s="5" t="s">
        <v>10</v>
      </c>
      <c r="G109" s="5" t="s">
        <v>11</v>
      </c>
      <c r="H109" s="3" t="s">
        <v>212</v>
      </c>
    </row>
    <row r="110" spans="1:8" ht="27.6" x14ac:dyDescent="0.25">
      <c r="A110" s="3" t="s">
        <v>8</v>
      </c>
      <c r="B110" s="3" t="s">
        <v>213</v>
      </c>
      <c r="C110" s="4" t="str">
        <f>HYPERLINK("http://www.rncp.cncp.gouv.fr/grand-public/visualisationFiche?format=fr&amp;fiche=2003","2003")</f>
        <v>2003</v>
      </c>
      <c r="D110" s="4" t="str">
        <f>HYPERLINK("http://www.intercariforef.org/formations/certification-13303.html","13303")</f>
        <v>13303</v>
      </c>
      <c r="E110" s="5">
        <v>12379</v>
      </c>
      <c r="F110" s="5" t="s">
        <v>10</v>
      </c>
      <c r="G110" s="5" t="s">
        <v>11</v>
      </c>
      <c r="H110" s="3" t="s">
        <v>214</v>
      </c>
    </row>
    <row r="111" spans="1:8" ht="27.6" x14ac:dyDescent="0.25">
      <c r="A111" s="3" t="s">
        <v>8</v>
      </c>
      <c r="B111" s="3" t="s">
        <v>215</v>
      </c>
      <c r="C111" s="4" t="str">
        <f>HYPERLINK("http://www.rncp.cncp.gouv.fr/grand-public/visualisationFiche?format=fr&amp;fiche=4127","4127")</f>
        <v>4127</v>
      </c>
      <c r="D111" s="4" t="str">
        <f>HYPERLINK("http://www.intercariforef.org/formations/certification-12650.html","12650")</f>
        <v>12650</v>
      </c>
      <c r="E111" s="5">
        <v>145426</v>
      </c>
      <c r="F111" s="5" t="s">
        <v>10</v>
      </c>
      <c r="G111" s="5" t="s">
        <v>11</v>
      </c>
      <c r="H111" s="3" t="s">
        <v>79</v>
      </c>
    </row>
    <row r="112" spans="1:8" ht="27.6" x14ac:dyDescent="0.25">
      <c r="A112" s="3" t="s">
        <v>8</v>
      </c>
      <c r="B112" s="3" t="s">
        <v>216</v>
      </c>
      <c r="C112" s="4" t="str">
        <f>HYPERLINK("http://www.rncp.cncp.gouv.fr/grand-public/visualisationFiche?format=fr&amp;fiche=22457","22457")</f>
        <v>22457</v>
      </c>
      <c r="D112" s="4" t="str">
        <f>HYPERLINK("http://www.intercariforef.org/formations/certification-47750.html","47750")</f>
        <v>47750</v>
      </c>
      <c r="E112" s="5">
        <v>12284</v>
      </c>
      <c r="F112" s="5" t="s">
        <v>10</v>
      </c>
      <c r="G112" s="5" t="s">
        <v>11</v>
      </c>
      <c r="H112" s="3" t="s">
        <v>217</v>
      </c>
    </row>
    <row r="113" spans="1:8" ht="27.6" x14ac:dyDescent="0.25">
      <c r="A113" s="3" t="s">
        <v>8</v>
      </c>
      <c r="B113" s="3" t="s">
        <v>218</v>
      </c>
      <c r="C113" s="4" t="str">
        <f>HYPERLINK("http://www.rncp.cncp.gouv.fr/grand-public/visualisationFiche?format=fr&amp;fiche=22466","22466")</f>
        <v>22466</v>
      </c>
      <c r="D113" s="4" t="str">
        <f>HYPERLINK("http://www.intercariforef.org/formations/certification-47695.html","47695")</f>
        <v>47695</v>
      </c>
      <c r="E113" s="5">
        <v>12285</v>
      </c>
      <c r="F113" s="5" t="s">
        <v>10</v>
      </c>
      <c r="G113" s="5" t="s">
        <v>11</v>
      </c>
      <c r="H113" s="3" t="s">
        <v>217</v>
      </c>
    </row>
    <row r="114" spans="1:8" ht="13.8" x14ac:dyDescent="0.25">
      <c r="A114" s="3" t="s">
        <v>8</v>
      </c>
      <c r="B114" s="3" t="s">
        <v>219</v>
      </c>
      <c r="C114" s="4" t="str">
        <f>HYPERLINK("http://www.rncp.cncp.gouv.fr/grand-public/visualisationFiche?format=fr&amp;fiche=14467","14467")</f>
        <v>14467</v>
      </c>
      <c r="D114" s="4" t="str">
        <f>HYPERLINK("http://www.intercariforef.org/formations/certification-59062.html","59062")</f>
        <v>59062</v>
      </c>
      <c r="E114" s="5">
        <v>12260</v>
      </c>
      <c r="F114" s="5" t="s">
        <v>10</v>
      </c>
      <c r="G114" s="5" t="s">
        <v>11</v>
      </c>
      <c r="H114" s="3" t="s">
        <v>220</v>
      </c>
    </row>
    <row r="115" spans="1:8" ht="27.6" x14ac:dyDescent="0.25">
      <c r="A115" s="3" t="s">
        <v>8</v>
      </c>
      <c r="B115" s="3" t="s">
        <v>221</v>
      </c>
      <c r="C115" s="4" t="str">
        <f>HYPERLINK("http://www.rncp.cncp.gouv.fr/grand-public/visualisationFiche?format=fr&amp;fiche=14470","14470")</f>
        <v>14470</v>
      </c>
      <c r="D115" s="4" t="str">
        <f>HYPERLINK("http://www.intercariforef.org/formations/certification-66240.html","66240")</f>
        <v>66240</v>
      </c>
      <c r="E115" s="5">
        <v>12388</v>
      </c>
      <c r="F115" s="5" t="s">
        <v>10</v>
      </c>
      <c r="G115" s="5" t="s">
        <v>11</v>
      </c>
      <c r="H115" s="3" t="s">
        <v>222</v>
      </c>
    </row>
    <row r="116" spans="1:8" ht="27.6" x14ac:dyDescent="0.25">
      <c r="A116" s="3" t="s">
        <v>8</v>
      </c>
      <c r="B116" s="3" t="s">
        <v>223</v>
      </c>
      <c r="C116" s="5"/>
      <c r="D116" s="4" t="str">
        <f>HYPERLINK("http://www.intercariforef.org/formations/certification-59066.html","59066")</f>
        <v>59066</v>
      </c>
      <c r="E116" s="5">
        <v>12389</v>
      </c>
      <c r="F116" s="5" t="s">
        <v>10</v>
      </c>
      <c r="G116" s="5" t="s">
        <v>11</v>
      </c>
      <c r="H116" s="3" t="s">
        <v>222</v>
      </c>
    </row>
    <row r="117" spans="1:8" ht="27.6" x14ac:dyDescent="0.25">
      <c r="A117" s="3" t="s">
        <v>8</v>
      </c>
      <c r="B117" s="3" t="s">
        <v>224</v>
      </c>
      <c r="C117" s="4" t="str">
        <f>HYPERLINK("http://www.rncp.cncp.gouv.fr/grand-public/visualisationFiche?format=fr&amp;fiche=4221","4221")</f>
        <v>4221</v>
      </c>
      <c r="D117" s="4" t="str">
        <f>HYPERLINK("http://www.intercariforef.org/formations/certification-12783.html","12783")</f>
        <v>12783</v>
      </c>
      <c r="E117" s="5">
        <v>12390</v>
      </c>
      <c r="F117" s="5" t="s">
        <v>10</v>
      </c>
      <c r="G117" s="5" t="s">
        <v>11</v>
      </c>
      <c r="H117" s="3" t="s">
        <v>225</v>
      </c>
    </row>
    <row r="118" spans="1:8" ht="27.6" x14ac:dyDescent="0.25">
      <c r="A118" s="3" t="s">
        <v>8</v>
      </c>
      <c r="B118" s="3" t="s">
        <v>226</v>
      </c>
      <c r="C118" s="4" t="str">
        <f>HYPERLINK("http://www.rncp.cncp.gouv.fr/grand-public/visualisationFiche?format=fr&amp;fiche=4107","4107")</f>
        <v>4107</v>
      </c>
      <c r="D118" s="4" t="str">
        <f>HYPERLINK("http://www.intercariforef.org/formations/certification-47637.html","47637")</f>
        <v>47637</v>
      </c>
      <c r="E118" s="5">
        <v>12287</v>
      </c>
      <c r="F118" s="5" t="s">
        <v>10</v>
      </c>
      <c r="G118" s="5" t="s">
        <v>11</v>
      </c>
      <c r="H118" s="3" t="s">
        <v>227</v>
      </c>
    </row>
    <row r="119" spans="1:8" ht="27.6" x14ac:dyDescent="0.25">
      <c r="A119" s="3" t="s">
        <v>8</v>
      </c>
      <c r="B119" s="3" t="s">
        <v>228</v>
      </c>
      <c r="C119" s="4" t="str">
        <f>HYPERLINK("http://www.rncp.cncp.gouv.fr/grand-public/visualisationFiche?format=fr&amp;fiche=14341","14341")</f>
        <v>14341</v>
      </c>
      <c r="D119" s="4" t="str">
        <f>HYPERLINK("http://www.intercariforef.org/formations/certification-47636.html","47636")</f>
        <v>47636</v>
      </c>
      <c r="E119" s="5">
        <v>12393</v>
      </c>
      <c r="F119" s="5" t="s">
        <v>10</v>
      </c>
      <c r="G119" s="5" t="s">
        <v>11</v>
      </c>
      <c r="H119" s="3" t="s">
        <v>229</v>
      </c>
    </row>
    <row r="120" spans="1:8" ht="27.6" x14ac:dyDescent="0.25">
      <c r="A120" s="3" t="s">
        <v>8</v>
      </c>
      <c r="B120" s="3" t="s">
        <v>230</v>
      </c>
      <c r="C120" s="4" t="str">
        <f>HYPERLINK("http://www.rncp.cncp.gouv.fr/grand-public/visualisationFiche?format=fr&amp;fiche=18782","18782")</f>
        <v>18782</v>
      </c>
      <c r="D120" s="4" t="str">
        <f>HYPERLINK("http://www.intercariforef.org/formations/certification-12786.html","12786")</f>
        <v>12786</v>
      </c>
      <c r="E120" s="5">
        <v>12391</v>
      </c>
      <c r="F120" s="5" t="s">
        <v>10</v>
      </c>
      <c r="G120" s="5" t="s">
        <v>11</v>
      </c>
      <c r="H120" s="3" t="s">
        <v>231</v>
      </c>
    </row>
    <row r="121" spans="1:8" ht="13.8" x14ac:dyDescent="0.25">
      <c r="A121" s="3" t="s">
        <v>8</v>
      </c>
      <c r="B121" s="3" t="s">
        <v>232</v>
      </c>
      <c r="C121" s="4" t="str">
        <f>HYPERLINK("http://www.rncp.cncp.gouv.fr/grand-public/visualisationFiche?format=fr&amp;fiche=4590","4590")</f>
        <v>4590</v>
      </c>
      <c r="D121" s="4" t="str">
        <f>HYPERLINK("http://www.intercariforef.org/formations/certification-12788.html","12788")</f>
        <v>12788</v>
      </c>
      <c r="E121" s="5">
        <v>12392</v>
      </c>
      <c r="F121" s="5" t="s">
        <v>10</v>
      </c>
      <c r="G121" s="5" t="s">
        <v>11</v>
      </c>
      <c r="H121" s="3" t="s">
        <v>233</v>
      </c>
    </row>
    <row r="122" spans="1:8" ht="27.6" x14ac:dyDescent="0.25">
      <c r="A122" s="3" t="s">
        <v>8</v>
      </c>
      <c r="B122" s="3" t="s">
        <v>234</v>
      </c>
      <c r="C122" s="4" t="str">
        <f>HYPERLINK("http://www.rncp.cncp.gouv.fr/grand-public/visualisationFiche?format=fr&amp;fiche=4368","4368")</f>
        <v>4368</v>
      </c>
      <c r="D122" s="4" t="str">
        <f>HYPERLINK("http://www.intercariforef.org/formations/certification-59006.html","59006")</f>
        <v>59006</v>
      </c>
      <c r="E122" s="5">
        <v>12295</v>
      </c>
      <c r="F122" s="5" t="s">
        <v>10</v>
      </c>
      <c r="G122" s="5" t="s">
        <v>11</v>
      </c>
      <c r="H122" s="3" t="s">
        <v>235</v>
      </c>
    </row>
    <row r="123" spans="1:8" ht="41.4" x14ac:dyDescent="0.25">
      <c r="A123" s="3" t="s">
        <v>8</v>
      </c>
      <c r="B123" s="3" t="s">
        <v>236</v>
      </c>
      <c r="C123" s="4" t="str">
        <f>HYPERLINK("http://www.rncp.cncp.gouv.fr/grand-public/visualisationFiche?format=fr&amp;fiche=9741","9741")</f>
        <v>9741</v>
      </c>
      <c r="D123" s="4" t="str">
        <f>HYPERLINK("http://www.intercariforef.org/formations/certification-66191.html","66191")</f>
        <v>66191</v>
      </c>
      <c r="E123" s="5">
        <v>13737</v>
      </c>
      <c r="F123" s="5" t="s">
        <v>10</v>
      </c>
      <c r="G123" s="5" t="s">
        <v>11</v>
      </c>
      <c r="H123" s="3" t="s">
        <v>237</v>
      </c>
    </row>
    <row r="124" spans="1:8" ht="41.4" x14ac:dyDescent="0.25">
      <c r="A124" s="3" t="s">
        <v>8</v>
      </c>
      <c r="B124" s="3" t="s">
        <v>238</v>
      </c>
      <c r="C124" s="5"/>
      <c r="D124" s="4" t="str">
        <f>HYPERLINK("http://www.intercariforef.org/formations/certification-47562.html","47562")</f>
        <v>47562</v>
      </c>
      <c r="E124" s="5">
        <v>11984</v>
      </c>
      <c r="F124" s="5" t="s">
        <v>10</v>
      </c>
      <c r="G124" s="5" t="s">
        <v>11</v>
      </c>
      <c r="H124" s="3" t="s">
        <v>237</v>
      </c>
    </row>
    <row r="125" spans="1:8" ht="13.8" x14ac:dyDescent="0.25">
      <c r="A125" s="3" t="s">
        <v>8</v>
      </c>
      <c r="B125" s="3" t="s">
        <v>239</v>
      </c>
      <c r="C125" s="4" t="str">
        <f>HYPERLINK("http://www.rncp.cncp.gouv.fr/grand-public/visualisationFiche?format=fr&amp;fiche=12231","12231")</f>
        <v>12231</v>
      </c>
      <c r="D125" s="4" t="str">
        <f>HYPERLINK("http://www.intercariforef.org/formations/certification-59096.html","59096")</f>
        <v>59096</v>
      </c>
      <c r="E125" s="5">
        <v>12422</v>
      </c>
      <c r="F125" s="5" t="s">
        <v>10</v>
      </c>
      <c r="G125" s="5" t="s">
        <v>11</v>
      </c>
      <c r="H125" s="3" t="s">
        <v>240</v>
      </c>
    </row>
    <row r="126" spans="1:8" ht="13.8" x14ac:dyDescent="0.25">
      <c r="A126" s="3" t="s">
        <v>8</v>
      </c>
      <c r="B126" s="3" t="s">
        <v>241</v>
      </c>
      <c r="C126" s="4" t="str">
        <f>HYPERLINK("http://www.rncp.cncp.gouv.fr/grand-public/visualisationFiche?format=fr&amp;fiche=16172","16172")</f>
        <v>16172</v>
      </c>
      <c r="D126" s="4" t="str">
        <f>HYPERLINK("http://www.intercariforef.org/formations/certification-81139.html","81139")</f>
        <v>81139</v>
      </c>
      <c r="E126" s="5">
        <v>12421</v>
      </c>
      <c r="F126" s="5" t="s">
        <v>10</v>
      </c>
      <c r="G126" s="5" t="s">
        <v>11</v>
      </c>
      <c r="H126" s="3" t="s">
        <v>242</v>
      </c>
    </row>
    <row r="127" spans="1:8" ht="27.6" x14ac:dyDescent="0.25">
      <c r="A127" s="3" t="s">
        <v>8</v>
      </c>
      <c r="B127" s="3" t="s">
        <v>243</v>
      </c>
      <c r="C127" s="4" t="str">
        <f>HYPERLINK("http://www.rncp.cncp.gouv.fr/grand-public/visualisationFiche?format=fr&amp;fiche=16189","16189")</f>
        <v>16189</v>
      </c>
      <c r="D127" s="4" t="str">
        <f>HYPERLINK("http://www.intercariforef.org/formations/certification-81140.html","81140")</f>
        <v>81140</v>
      </c>
      <c r="E127" s="5">
        <v>145428</v>
      </c>
      <c r="F127" s="5" t="s">
        <v>10</v>
      </c>
      <c r="G127" s="5" t="s">
        <v>11</v>
      </c>
      <c r="H127" s="3" t="s">
        <v>244</v>
      </c>
    </row>
    <row r="128" spans="1:8" ht="27.6" x14ac:dyDescent="0.25">
      <c r="A128" s="3" t="s">
        <v>8</v>
      </c>
      <c r="B128" s="3" t="s">
        <v>245</v>
      </c>
      <c r="C128" s="4" t="str">
        <f>HYPERLINK("http://www.rncp.cncp.gouv.fr/grand-public/visualisationFiche?format=fr&amp;fiche=6942","6942")</f>
        <v>6942</v>
      </c>
      <c r="D128" s="4" t="str">
        <f>HYPERLINK("http://www.intercariforef.org/formations/certification-66168.html","66168")</f>
        <v>66168</v>
      </c>
      <c r="E128" s="5">
        <v>13705</v>
      </c>
      <c r="F128" s="5" t="s">
        <v>10</v>
      </c>
      <c r="G128" s="5" t="s">
        <v>11</v>
      </c>
      <c r="H128" s="3" t="s">
        <v>246</v>
      </c>
    </row>
    <row r="129" spans="1:8" ht="41.4" x14ac:dyDescent="0.25">
      <c r="A129" s="3" t="s">
        <v>8</v>
      </c>
      <c r="B129" s="3" t="s">
        <v>247</v>
      </c>
      <c r="C129" s="4" t="str">
        <f>HYPERLINK("http://www.rncp.cncp.gouv.fr/grand-public/visualisationFiche?format=fr&amp;fiche=4262","4262")</f>
        <v>4262</v>
      </c>
      <c r="D129" s="4" t="str">
        <f>HYPERLINK("http://www.intercariforef.org/formations/certification-13035.html","13035")</f>
        <v>13035</v>
      </c>
      <c r="E129" s="5">
        <v>13716</v>
      </c>
      <c r="F129" s="5" t="s">
        <v>10</v>
      </c>
      <c r="G129" s="5" t="s">
        <v>11</v>
      </c>
      <c r="H129" s="3" t="s">
        <v>248</v>
      </c>
    </row>
    <row r="130" spans="1:8" ht="41.4" x14ac:dyDescent="0.25">
      <c r="A130" s="3" t="s">
        <v>8</v>
      </c>
      <c r="B130" s="3" t="s">
        <v>249</v>
      </c>
      <c r="C130" s="4" t="str">
        <f>HYPERLINK("http://www.rncp.cncp.gouv.fr/grand-public/visualisationFiche?format=fr&amp;fiche=4263","4263")</f>
        <v>4263</v>
      </c>
      <c r="D130" s="4" t="str">
        <f>HYPERLINK("http://www.intercariforef.org/formations/certification-13036.html","13036")</f>
        <v>13036</v>
      </c>
      <c r="E130" s="5">
        <v>13723</v>
      </c>
      <c r="F130" s="5" t="s">
        <v>10</v>
      </c>
      <c r="G130" s="5" t="s">
        <v>11</v>
      </c>
      <c r="H130" s="3" t="s">
        <v>248</v>
      </c>
    </row>
    <row r="131" spans="1:8" ht="27.6" x14ac:dyDescent="0.25">
      <c r="A131" s="3" t="s">
        <v>8</v>
      </c>
      <c r="B131" s="3" t="s">
        <v>250</v>
      </c>
      <c r="C131" s="4" t="str">
        <f>HYPERLINK("http://www.rncp.cncp.gouv.fr/grand-public/visualisationFiche?format=fr&amp;fiche=4552","4552")</f>
        <v>4552</v>
      </c>
      <c r="D131" s="4" t="str">
        <f>HYPERLINK("http://www.intercariforef.org/formations/certification-12823.html","12823")</f>
        <v>12823</v>
      </c>
      <c r="E131" s="5">
        <v>12418</v>
      </c>
      <c r="F131" s="5" t="s">
        <v>10</v>
      </c>
      <c r="G131" s="5" t="s">
        <v>11</v>
      </c>
      <c r="H131" s="3" t="s">
        <v>251</v>
      </c>
    </row>
    <row r="132" spans="1:8" ht="27.6" x14ac:dyDescent="0.25">
      <c r="A132" s="3" t="s">
        <v>8</v>
      </c>
      <c r="B132" s="3" t="s">
        <v>252</v>
      </c>
      <c r="C132" s="4" t="str">
        <f>HYPERLINK("http://www.rncp.cncp.gouv.fr/grand-public/visualisationFiche?format=fr&amp;fiche=7007","7007")</f>
        <v>7007</v>
      </c>
      <c r="D132" s="4" t="str">
        <f>HYPERLINK("http://www.intercariforef.org/formations/certification-47434.html","47434")</f>
        <v>47434</v>
      </c>
      <c r="E132" s="5">
        <v>12300</v>
      </c>
      <c r="F132" s="5" t="s">
        <v>10</v>
      </c>
      <c r="G132" s="5" t="s">
        <v>11</v>
      </c>
      <c r="H132" s="3" t="s">
        <v>251</v>
      </c>
    </row>
    <row r="133" spans="1:8" ht="27.6" x14ac:dyDescent="0.25">
      <c r="A133" s="3" t="s">
        <v>8</v>
      </c>
      <c r="B133" s="3" t="s">
        <v>253</v>
      </c>
      <c r="C133" s="4" t="str">
        <f>HYPERLINK("http://www.rncp.cncp.gouv.fr/grand-public/visualisationFiche?format=fr&amp;fiche=16216","16216")</f>
        <v>16216</v>
      </c>
      <c r="D133" s="4" t="str">
        <f>HYPERLINK("http://www.intercariforef.org/formations/certification-47786.html","47786")</f>
        <v>47786</v>
      </c>
      <c r="E133" s="5">
        <v>12412</v>
      </c>
      <c r="F133" s="5" t="s">
        <v>10</v>
      </c>
      <c r="G133" s="5" t="s">
        <v>11</v>
      </c>
      <c r="H133" s="3" t="s">
        <v>254</v>
      </c>
    </row>
    <row r="134" spans="1:8" ht="41.4" x14ac:dyDescent="0.25">
      <c r="A134" s="3" t="s">
        <v>8</v>
      </c>
      <c r="B134" s="3" t="s">
        <v>255</v>
      </c>
      <c r="C134" s="4" t="str">
        <f>HYPERLINK("http://www.rncp.cncp.gouv.fr/grand-public/visualisationFiche?format=fr&amp;fiche=16910","16910")</f>
        <v>16910</v>
      </c>
      <c r="D134" s="4" t="str">
        <f>HYPERLINK("http://www.intercariforef.org/formations/certification-47785.html","47785")</f>
        <v>47785</v>
      </c>
      <c r="E134" s="5">
        <v>12411</v>
      </c>
      <c r="F134" s="5" t="s">
        <v>10</v>
      </c>
      <c r="G134" s="5" t="s">
        <v>11</v>
      </c>
      <c r="H134" s="3" t="s">
        <v>254</v>
      </c>
    </row>
    <row r="135" spans="1:8" ht="41.4" x14ac:dyDescent="0.25">
      <c r="A135" s="3" t="s">
        <v>8</v>
      </c>
      <c r="B135" s="3" t="s">
        <v>256</v>
      </c>
      <c r="C135" s="4" t="str">
        <f>HYPERLINK("http://www.rncp.cncp.gouv.fr/grand-public/visualisationFiche?format=fr&amp;fiche=16913","16913")</f>
        <v>16913</v>
      </c>
      <c r="D135" s="4" t="str">
        <f>HYPERLINK("http://www.intercariforef.org/formations/certification-12830.html","12830")</f>
        <v>12830</v>
      </c>
      <c r="E135" s="5">
        <v>12409</v>
      </c>
      <c r="F135" s="5" t="s">
        <v>10</v>
      </c>
      <c r="G135" s="5" t="s">
        <v>11</v>
      </c>
      <c r="H135" s="3" t="s">
        <v>254</v>
      </c>
    </row>
    <row r="136" spans="1:8" ht="41.4" x14ac:dyDescent="0.25">
      <c r="A136" s="3" t="s">
        <v>8</v>
      </c>
      <c r="B136" s="3" t="s">
        <v>257</v>
      </c>
      <c r="C136" s="4" t="str">
        <f>HYPERLINK("http://www.rncp.cncp.gouv.fr/grand-public/visualisationFiche?format=fr&amp;fiche=16911","16911")</f>
        <v>16911</v>
      </c>
      <c r="D136" s="4" t="str">
        <f>HYPERLINK("http://www.intercariforef.org/formations/certification-47777.html","47777")</f>
        <v>47777</v>
      </c>
      <c r="E136" s="5">
        <v>12410</v>
      </c>
      <c r="F136" s="5" t="s">
        <v>10</v>
      </c>
      <c r="G136" s="5" t="s">
        <v>11</v>
      </c>
      <c r="H136" s="3" t="s">
        <v>254</v>
      </c>
    </row>
    <row r="137" spans="1:8" ht="27.6" x14ac:dyDescent="0.25">
      <c r="A137" s="3" t="s">
        <v>8</v>
      </c>
      <c r="B137" s="3" t="s">
        <v>258</v>
      </c>
      <c r="C137" s="4" t="str">
        <f>HYPERLINK("http://www.rncp.cncp.gouv.fr/grand-public/visualisationFiche?format=fr&amp;fiche=16912","16912")</f>
        <v>16912</v>
      </c>
      <c r="D137" s="4" t="str">
        <f>HYPERLINK("http://www.intercariforef.org/formations/certification-58961.html","58961")</f>
        <v>58961</v>
      </c>
      <c r="E137" s="5">
        <v>12413</v>
      </c>
      <c r="F137" s="5" t="s">
        <v>10</v>
      </c>
      <c r="G137" s="5" t="s">
        <v>11</v>
      </c>
      <c r="H137" s="3" t="s">
        <v>254</v>
      </c>
    </row>
    <row r="138" spans="1:8" ht="27.6" x14ac:dyDescent="0.25">
      <c r="A138" s="3" t="s">
        <v>8</v>
      </c>
      <c r="B138" s="3" t="s">
        <v>259</v>
      </c>
      <c r="C138" s="4" t="str">
        <f>HYPERLINK("http://www.rncp.cncp.gouv.fr/grand-public/visualisationFiche?format=fr&amp;fiche=11091","11091")</f>
        <v>11091</v>
      </c>
      <c r="D138" s="4" t="str">
        <f>HYPERLINK("http://www.intercariforef.org/formations/certification-12841.html","12841")</f>
        <v>12841</v>
      </c>
      <c r="E138" s="5">
        <v>12257</v>
      </c>
      <c r="F138" s="5" t="s">
        <v>10</v>
      </c>
      <c r="G138" s="5" t="s">
        <v>11</v>
      </c>
      <c r="H138" s="3" t="s">
        <v>260</v>
      </c>
    </row>
    <row r="139" spans="1:8" ht="13.8" x14ac:dyDescent="0.25">
      <c r="A139" s="3" t="s">
        <v>8</v>
      </c>
      <c r="B139" s="3" t="s">
        <v>261</v>
      </c>
      <c r="C139" s="4" t="str">
        <f>HYPERLINK("http://www.rncp.cncp.gouv.fr/grand-public/visualisationFiche?format=fr&amp;fiche=18914","18914")</f>
        <v>18914</v>
      </c>
      <c r="D139" s="4" t="str">
        <f>HYPERLINK("http://www.intercariforef.org/formations/certification-12842.html","12842")</f>
        <v>12842</v>
      </c>
      <c r="E139" s="5">
        <v>12305</v>
      </c>
      <c r="F139" s="5" t="s">
        <v>10</v>
      </c>
      <c r="G139" s="5" t="s">
        <v>11</v>
      </c>
      <c r="H139" s="3" t="s">
        <v>262</v>
      </c>
    </row>
    <row r="140" spans="1:8" ht="13.8" x14ac:dyDescent="0.25">
      <c r="A140" s="3" t="s">
        <v>8</v>
      </c>
      <c r="B140" s="3" t="s">
        <v>263</v>
      </c>
      <c r="C140" s="4" t="str">
        <f>HYPERLINK("http://www.rncp.cncp.gouv.fr/grand-public/visualisationFiche?format=fr&amp;fiche=18290","18290")</f>
        <v>18290</v>
      </c>
      <c r="D140" s="4" t="str">
        <f>HYPERLINK("http://www.intercariforef.org/formations/certification-47711.html","47711")</f>
        <v>47711</v>
      </c>
      <c r="E140" s="5">
        <v>12307</v>
      </c>
      <c r="F140" s="5" t="s">
        <v>10</v>
      </c>
      <c r="G140" s="5" t="s">
        <v>11</v>
      </c>
      <c r="H140" s="3" t="s">
        <v>264</v>
      </c>
    </row>
    <row r="141" spans="1:8" ht="27.6" x14ac:dyDescent="0.25">
      <c r="A141" s="3" t="s">
        <v>8</v>
      </c>
      <c r="B141" s="3" t="s">
        <v>265</v>
      </c>
      <c r="C141" s="4" t="str">
        <f>HYPERLINK("http://www.rncp.cncp.gouv.fr/grand-public/visualisationFiche?format=fr&amp;fiche=18291","18291")</f>
        <v>18291</v>
      </c>
      <c r="D141" s="4" t="str">
        <f>HYPERLINK("http://www.intercariforef.org/formations/certification-47682.html","47682")</f>
        <v>47682</v>
      </c>
      <c r="E141" s="5">
        <v>13741</v>
      </c>
      <c r="F141" s="5" t="s">
        <v>10</v>
      </c>
      <c r="G141" s="5" t="s">
        <v>11</v>
      </c>
      <c r="H141" s="3" t="s">
        <v>266</v>
      </c>
    </row>
    <row r="142" spans="1:8" ht="27.6" x14ac:dyDescent="0.25">
      <c r="A142" s="3" t="s">
        <v>8</v>
      </c>
      <c r="B142" s="3" t="s">
        <v>267</v>
      </c>
      <c r="C142" s="4" t="str">
        <f>HYPERLINK("http://www.rncp.cncp.gouv.fr/grand-public/visualisationFiche?format=fr&amp;fiche=7024","7024")</f>
        <v>7024</v>
      </c>
      <c r="D142" s="4" t="str">
        <f>HYPERLINK("http://www.intercariforef.org/formations/certification-74663.html","74663")</f>
        <v>74663</v>
      </c>
      <c r="E142" s="5">
        <v>12924</v>
      </c>
      <c r="F142" s="5" t="s">
        <v>10</v>
      </c>
      <c r="G142" s="5" t="s">
        <v>11</v>
      </c>
      <c r="H142" s="3" t="s">
        <v>268</v>
      </c>
    </row>
    <row r="143" spans="1:8" ht="27.6" x14ac:dyDescent="0.25">
      <c r="A143" s="3" t="s">
        <v>8</v>
      </c>
      <c r="B143" s="3" t="s">
        <v>269</v>
      </c>
      <c r="C143" s="4" t="str">
        <f>HYPERLINK("http://www.rncp.cncp.gouv.fr/grand-public/visualisationFiche?format=fr&amp;fiche=7023","7023")</f>
        <v>7023</v>
      </c>
      <c r="D143" s="4" t="str">
        <f>HYPERLINK("http://www.intercariforef.org/formations/certification-47632.html","47632")</f>
        <v>47632</v>
      </c>
      <c r="E143" s="5">
        <v>12253</v>
      </c>
      <c r="F143" s="5" t="s">
        <v>10</v>
      </c>
      <c r="G143" s="5" t="s">
        <v>11</v>
      </c>
      <c r="H143" s="3" t="s">
        <v>268</v>
      </c>
    </row>
    <row r="144" spans="1:8" ht="13.8" x14ac:dyDescent="0.25">
      <c r="A144" s="3" t="s">
        <v>8</v>
      </c>
      <c r="B144" s="3" t="s">
        <v>270</v>
      </c>
      <c r="C144" s="4" t="str">
        <f>HYPERLINK("http://www.rncp.cncp.gouv.fr/grand-public/visualisationFiche?format=fr&amp;fiche=12314","12314")</f>
        <v>12314</v>
      </c>
      <c r="D144" s="4" t="str">
        <f>HYPERLINK("http://www.intercariforef.org/formations/certification-47713.html","47713")</f>
        <v>47713</v>
      </c>
      <c r="E144" s="5">
        <v>12306</v>
      </c>
      <c r="F144" s="5" t="s">
        <v>10</v>
      </c>
      <c r="G144" s="5" t="s">
        <v>11</v>
      </c>
      <c r="H144" s="3" t="s">
        <v>271</v>
      </c>
    </row>
    <row r="145" spans="1:8" ht="41.4" x14ac:dyDescent="0.25">
      <c r="A145" s="3" t="s">
        <v>8</v>
      </c>
      <c r="B145" s="3" t="s">
        <v>272</v>
      </c>
      <c r="C145" s="4" t="str">
        <f>HYPERLINK("http://www.rncp.cncp.gouv.fr/grand-public/visualisationFiche?format=fr&amp;fiche=15260","15260")</f>
        <v>15260</v>
      </c>
      <c r="D145" s="4" t="str">
        <f>HYPERLINK("http://www.intercariforef.org/formations/certification-47621.html","47621")</f>
        <v>47621</v>
      </c>
      <c r="E145" s="5">
        <v>146870</v>
      </c>
      <c r="F145" s="5" t="s">
        <v>10</v>
      </c>
      <c r="G145" s="5" t="s">
        <v>11</v>
      </c>
      <c r="H145" s="3" t="s">
        <v>273</v>
      </c>
    </row>
    <row r="146" spans="1:8" ht="27.6" x14ac:dyDescent="0.25">
      <c r="A146" s="3" t="s">
        <v>8</v>
      </c>
      <c r="B146" s="3" t="s">
        <v>274</v>
      </c>
      <c r="C146" s="5"/>
      <c r="D146" s="4" t="str">
        <f>HYPERLINK("http://www.intercariforef.org/formations/certification-47538.html","47538")</f>
        <v>47538</v>
      </c>
      <c r="E146" s="5">
        <v>145429</v>
      </c>
      <c r="F146" s="5" t="s">
        <v>10</v>
      </c>
      <c r="G146" s="5" t="s">
        <v>11</v>
      </c>
      <c r="H146" s="3" t="s">
        <v>275</v>
      </c>
    </row>
    <row r="147" spans="1:8" ht="27.6" x14ac:dyDescent="0.25">
      <c r="A147" s="3" t="s">
        <v>8</v>
      </c>
      <c r="B147" s="3" t="s">
        <v>276</v>
      </c>
      <c r="C147" s="4" t="str">
        <f>HYPERLINK("http://www.rncp.cncp.gouv.fr/grand-public/visualisationFiche?format=fr&amp;fiche=18936","18936")</f>
        <v>18936</v>
      </c>
      <c r="D147" s="4" t="str">
        <f>HYPERLINK("http://www.intercariforef.org/formations/certification-82902.html","82902")</f>
        <v>82902</v>
      </c>
      <c r="E147" s="5">
        <v>12309</v>
      </c>
      <c r="F147" s="5" t="s">
        <v>10</v>
      </c>
      <c r="G147" s="5" t="s">
        <v>11</v>
      </c>
      <c r="H147" s="3" t="s">
        <v>277</v>
      </c>
    </row>
    <row r="148" spans="1:8" ht="41.4" x14ac:dyDescent="0.25">
      <c r="A148" s="3" t="s">
        <v>8</v>
      </c>
      <c r="B148" s="3" t="s">
        <v>278</v>
      </c>
      <c r="C148" s="4" t="str">
        <f>HYPERLINK("http://www.rncp.cncp.gouv.fr/grand-public/visualisationFiche?format=fr&amp;fiche=14900","14900")</f>
        <v>14900</v>
      </c>
      <c r="D148" s="4" t="str">
        <f>HYPERLINK("http://www.intercariforef.org/formations/certification-63337.html","63337")</f>
        <v>63337</v>
      </c>
      <c r="E148" s="5">
        <v>12308</v>
      </c>
      <c r="F148" s="5" t="s">
        <v>10</v>
      </c>
      <c r="G148" s="5" t="s">
        <v>11</v>
      </c>
      <c r="H148" s="3" t="s">
        <v>279</v>
      </c>
    </row>
    <row r="149" spans="1:8" ht="27.6" x14ac:dyDescent="0.25">
      <c r="A149" s="3" t="s">
        <v>8</v>
      </c>
      <c r="B149" s="3" t="s">
        <v>280</v>
      </c>
      <c r="C149" s="4" t="str">
        <f>HYPERLINK("http://www.rncp.cncp.gouv.fr/grand-public/visualisationFiche?format=fr&amp;fiche=4129","4129")</f>
        <v>4129</v>
      </c>
      <c r="D149" s="4" t="str">
        <f>HYPERLINK("http://www.intercariforef.org/formations/certification-66162.html","66162")</f>
        <v>66162</v>
      </c>
      <c r="E149" s="5">
        <v>12310</v>
      </c>
      <c r="F149" s="5" t="s">
        <v>10</v>
      </c>
      <c r="G149" s="5" t="s">
        <v>11</v>
      </c>
      <c r="H149" s="3" t="s">
        <v>277</v>
      </c>
    </row>
    <row r="150" spans="1:8" ht="27.6" x14ac:dyDescent="0.25">
      <c r="A150" s="3" t="s">
        <v>8</v>
      </c>
      <c r="B150" s="3" t="s">
        <v>281</v>
      </c>
      <c r="C150" s="4" t="str">
        <f>HYPERLINK("http://www.rncp.cncp.gouv.fr/grand-public/visualisationFiche?format=fr&amp;fiche=15031","15031")</f>
        <v>15031</v>
      </c>
      <c r="D150" s="4" t="str">
        <f>HYPERLINK("http://www.intercariforef.org/formations/certification-77304.html","77304")</f>
        <v>77304</v>
      </c>
      <c r="E150" s="5">
        <v>145430</v>
      </c>
      <c r="F150" s="5" t="s">
        <v>10</v>
      </c>
      <c r="G150" s="5" t="s">
        <v>11</v>
      </c>
      <c r="H150" s="3" t="s">
        <v>282</v>
      </c>
    </row>
    <row r="151" spans="1:8" ht="27.6" x14ac:dyDescent="0.25">
      <c r="A151" s="3" t="s">
        <v>8</v>
      </c>
      <c r="B151" s="3" t="s">
        <v>283</v>
      </c>
      <c r="C151" s="4" t="str">
        <f>HYPERLINK("http://www.rncp.cncp.gouv.fr/grand-public/visualisationFiche?format=fr&amp;fiche=4092","4092")</f>
        <v>4092</v>
      </c>
      <c r="D151" s="4" t="str">
        <f>HYPERLINK("http://www.intercariforef.org/formations/certification-12846.html","12846")</f>
        <v>12846</v>
      </c>
      <c r="E151" s="5">
        <v>145431</v>
      </c>
      <c r="F151" s="5" t="s">
        <v>10</v>
      </c>
      <c r="G151" s="5" t="s">
        <v>11</v>
      </c>
      <c r="H151" s="3" t="s">
        <v>284</v>
      </c>
    </row>
    <row r="152" spans="1:8" ht="27.6" x14ac:dyDescent="0.25">
      <c r="A152" s="3" t="s">
        <v>8</v>
      </c>
      <c r="B152" s="3" t="s">
        <v>285</v>
      </c>
      <c r="C152" s="4" t="str">
        <f>HYPERLINK("http://www.rncp.cncp.gouv.fr/grand-public/visualisationFiche?format=fr&amp;fiche=4366","4366")</f>
        <v>4366</v>
      </c>
      <c r="D152" s="4" t="str">
        <f>HYPERLINK("http://www.intercariforef.org/formations/certification-59015.html","59015")</f>
        <v>59015</v>
      </c>
      <c r="E152" s="5">
        <v>13687</v>
      </c>
      <c r="F152" s="5" t="s">
        <v>10</v>
      </c>
      <c r="G152" s="5" t="s">
        <v>11</v>
      </c>
      <c r="H152" s="3" t="s">
        <v>286</v>
      </c>
    </row>
    <row r="153" spans="1:8" ht="27.6" x14ac:dyDescent="0.25">
      <c r="A153" s="3" t="s">
        <v>8</v>
      </c>
      <c r="B153" s="3" t="s">
        <v>287</v>
      </c>
      <c r="C153" s="5"/>
      <c r="D153" s="4" t="str">
        <f>HYPERLINK("http://www.intercariforef.org/formations/certification-47467.html","47467")</f>
        <v>47467</v>
      </c>
      <c r="E153" s="5">
        <v>12320</v>
      </c>
      <c r="F153" s="5" t="s">
        <v>10</v>
      </c>
      <c r="G153" s="5" t="s">
        <v>11</v>
      </c>
      <c r="H153" s="3" t="s">
        <v>212</v>
      </c>
    </row>
    <row r="154" spans="1:8" ht="27.6" x14ac:dyDescent="0.25">
      <c r="A154" s="3" t="s">
        <v>8</v>
      </c>
      <c r="B154" s="3" t="s">
        <v>288</v>
      </c>
      <c r="C154" s="4" t="str">
        <f>HYPERLINK("http://www.rncp.cncp.gouv.fr/grand-public/visualisationFiche?format=fr&amp;fiche=14044","14044")</f>
        <v>14044</v>
      </c>
      <c r="D154" s="4" t="str">
        <f>HYPERLINK("http://www.intercariforef.org/formations/certification-53244.html","53244")</f>
        <v>53244</v>
      </c>
      <c r="E154" s="5">
        <v>12417</v>
      </c>
      <c r="F154" s="5" t="s">
        <v>10</v>
      </c>
      <c r="G154" s="5" t="s">
        <v>11</v>
      </c>
      <c r="H154" s="3" t="s">
        <v>289</v>
      </c>
    </row>
    <row r="155" spans="1:8" ht="27.6" x14ac:dyDescent="0.25">
      <c r="A155" s="3" t="s">
        <v>8</v>
      </c>
      <c r="B155" s="3" t="s">
        <v>290</v>
      </c>
      <c r="C155" s="5"/>
      <c r="D155" s="4" t="str">
        <f>HYPERLINK("http://www.intercariforef.org/formations/certification-47748.html","47748")</f>
        <v>47748</v>
      </c>
      <c r="E155" s="5">
        <v>12404</v>
      </c>
      <c r="F155" s="5" t="s">
        <v>10</v>
      </c>
      <c r="G155" s="5" t="s">
        <v>11</v>
      </c>
      <c r="H155" s="3" t="s">
        <v>291</v>
      </c>
    </row>
    <row r="156" spans="1:8" ht="27.6" x14ac:dyDescent="0.25">
      <c r="A156" s="3" t="s">
        <v>8</v>
      </c>
      <c r="B156" s="3" t="s">
        <v>292</v>
      </c>
      <c r="C156" s="5"/>
      <c r="D156" s="4" t="str">
        <f>HYPERLINK("http://www.intercariforef.org/formations/certification-62736.html","62736")</f>
        <v>62736</v>
      </c>
      <c r="E156" s="5">
        <v>12408</v>
      </c>
      <c r="F156" s="5" t="s">
        <v>10</v>
      </c>
      <c r="G156" s="5" t="s">
        <v>11</v>
      </c>
      <c r="H156" s="3" t="s">
        <v>293</v>
      </c>
    </row>
    <row r="157" spans="1:8" ht="27.6" x14ac:dyDescent="0.25">
      <c r="A157" s="3" t="s">
        <v>8</v>
      </c>
      <c r="B157" s="3" t="s">
        <v>294</v>
      </c>
      <c r="C157" s="4" t="str">
        <f>HYPERLINK("http://www.rncp.cncp.gouv.fr/grand-public/visualisationFiche?format=fr&amp;fiche=4378","4378")</f>
        <v>4378</v>
      </c>
      <c r="D157" s="4" t="str">
        <f>HYPERLINK("http://www.intercariforef.org/formations/certification-47747.html","47747")</f>
        <v>47747</v>
      </c>
      <c r="E157" s="5">
        <v>12405</v>
      </c>
      <c r="F157" s="5" t="s">
        <v>10</v>
      </c>
      <c r="G157" s="5" t="s">
        <v>11</v>
      </c>
      <c r="H157" s="3" t="s">
        <v>291</v>
      </c>
    </row>
    <row r="158" spans="1:8" ht="27.6" x14ac:dyDescent="0.25">
      <c r="A158" s="3" t="s">
        <v>8</v>
      </c>
      <c r="B158" s="3" t="s">
        <v>295</v>
      </c>
      <c r="C158" s="5"/>
      <c r="D158" s="4" t="str">
        <f>HYPERLINK("http://www.intercariforef.org/formations/certification-63405.html","63405")</f>
        <v>63405</v>
      </c>
      <c r="E158" s="5">
        <v>12406</v>
      </c>
      <c r="F158" s="5" t="s">
        <v>10</v>
      </c>
      <c r="G158" s="5" t="s">
        <v>11</v>
      </c>
      <c r="H158" s="3" t="s">
        <v>291</v>
      </c>
    </row>
    <row r="159" spans="1:8" ht="27.6" x14ac:dyDescent="0.25">
      <c r="A159" s="3" t="s">
        <v>8</v>
      </c>
      <c r="B159" s="3" t="s">
        <v>296</v>
      </c>
      <c r="C159" s="5"/>
      <c r="D159" s="4" t="str">
        <f>HYPERLINK("http://www.intercariforef.org/formations/certification-47512.html","47512")</f>
        <v>47512</v>
      </c>
      <c r="E159" s="5">
        <v>12407</v>
      </c>
      <c r="F159" s="5" t="s">
        <v>10</v>
      </c>
      <c r="G159" s="5" t="s">
        <v>11</v>
      </c>
      <c r="H159" s="3" t="s">
        <v>291</v>
      </c>
    </row>
    <row r="160" spans="1:8" ht="27.6" x14ac:dyDescent="0.25">
      <c r="A160" s="3" t="s">
        <v>8</v>
      </c>
      <c r="B160" s="3" t="s">
        <v>297</v>
      </c>
      <c r="C160" s="4" t="str">
        <f>HYPERLINK("http://www.rncp.cncp.gouv.fr/grand-public/visualisationFiche?format=fr&amp;fiche=17644","17644")</f>
        <v>17644</v>
      </c>
      <c r="D160" s="4" t="str">
        <f>HYPERLINK("http://www.intercariforef.org/formations/certification-66181.html","66181")</f>
        <v>66181</v>
      </c>
      <c r="E160" s="5">
        <v>12324</v>
      </c>
      <c r="F160" s="5" t="s">
        <v>10</v>
      </c>
      <c r="G160" s="5" t="s">
        <v>11</v>
      </c>
      <c r="H160" s="3" t="s">
        <v>298</v>
      </c>
    </row>
    <row r="161" spans="1:8" ht="27.6" x14ac:dyDescent="0.25">
      <c r="A161" s="3" t="s">
        <v>8</v>
      </c>
      <c r="B161" s="3" t="s">
        <v>299</v>
      </c>
      <c r="C161" s="4" t="str">
        <f>HYPERLINK("http://www.rncp.cncp.gouv.fr/grand-public/visualisationFiche?format=fr&amp;fiche=17646","17646")</f>
        <v>17646</v>
      </c>
      <c r="D161" s="4" t="str">
        <f>HYPERLINK("http://www.intercariforef.org/formations/certification-66180.html","66180")</f>
        <v>66180</v>
      </c>
      <c r="E161" s="5">
        <v>12323</v>
      </c>
      <c r="F161" s="5" t="s">
        <v>10</v>
      </c>
      <c r="G161" s="5" t="s">
        <v>11</v>
      </c>
      <c r="H161" s="3" t="s">
        <v>298</v>
      </c>
    </row>
    <row r="162" spans="1:8" ht="27.6" x14ac:dyDescent="0.25">
      <c r="A162" s="3" t="s">
        <v>8</v>
      </c>
      <c r="B162" s="3" t="s">
        <v>300</v>
      </c>
      <c r="C162" s="4" t="str">
        <f>HYPERLINK("http://www.rncp.cncp.gouv.fr/grand-public/visualisationFiche?format=fr&amp;fiche=16964","16964")</f>
        <v>16964</v>
      </c>
      <c r="D162" s="4" t="str">
        <f>HYPERLINK("http://www.intercariforef.org/formations/certification-62785.html","62785")</f>
        <v>62785</v>
      </c>
      <c r="E162" s="5">
        <v>11592</v>
      </c>
      <c r="F162" s="5" t="s">
        <v>10</v>
      </c>
      <c r="G162" s="5" t="s">
        <v>11</v>
      </c>
      <c r="H162" s="3" t="s">
        <v>301</v>
      </c>
    </row>
    <row r="163" spans="1:8" ht="27.6" x14ac:dyDescent="0.25">
      <c r="A163" s="3" t="s">
        <v>8</v>
      </c>
      <c r="B163" s="3" t="s">
        <v>302</v>
      </c>
      <c r="C163" s="4" t="str">
        <f>HYPERLINK("http://www.rncp.cncp.gouv.fr/grand-public/visualisationFiche?format=fr&amp;fiche=16963","16963")</f>
        <v>16963</v>
      </c>
      <c r="D163" s="4" t="str">
        <f>HYPERLINK("http://www.intercariforef.org/formations/certification-12870.html","12870")</f>
        <v>12870</v>
      </c>
      <c r="E163" s="5">
        <v>12420</v>
      </c>
      <c r="F163" s="5" t="s">
        <v>10</v>
      </c>
      <c r="G163" s="5" t="s">
        <v>11</v>
      </c>
      <c r="H163" s="3" t="s">
        <v>301</v>
      </c>
    </row>
    <row r="164" spans="1:8" ht="55.2" x14ac:dyDescent="0.25">
      <c r="A164" s="3" t="s">
        <v>8</v>
      </c>
      <c r="B164" s="3" t="s">
        <v>303</v>
      </c>
      <c r="C164" s="4" t="str">
        <f>HYPERLINK("http://www.rncp.cncp.gouv.fr/grand-public/visualisationFiche?format=fr&amp;fiche=10119","10119")</f>
        <v>10119</v>
      </c>
      <c r="D164" s="4" t="str">
        <f>HYPERLINK("http://www.intercariforef.org/formations/certification-74827.html","74827")</f>
        <v>74827</v>
      </c>
      <c r="E164" s="5">
        <v>13197</v>
      </c>
      <c r="F164" s="5" t="s">
        <v>10</v>
      </c>
      <c r="G164" s="5" t="s">
        <v>11</v>
      </c>
      <c r="H164" s="3" t="s">
        <v>304</v>
      </c>
    </row>
    <row r="165" spans="1:8" ht="41.4" x14ac:dyDescent="0.25">
      <c r="A165" s="3" t="s">
        <v>8</v>
      </c>
      <c r="B165" s="3" t="s">
        <v>305</v>
      </c>
      <c r="C165" s="4" t="str">
        <f>HYPERLINK("http://www.rncp.cncp.gouv.fr/grand-public/visualisationFiche?format=fr&amp;fiche=10117","10117")</f>
        <v>10117</v>
      </c>
      <c r="D165" s="4" t="str">
        <f>HYPERLINK("http://www.intercariforef.org/formations/certification-47422.html","47422")</f>
        <v>47422</v>
      </c>
      <c r="E165" s="5">
        <v>12416</v>
      </c>
      <c r="F165" s="5" t="s">
        <v>10</v>
      </c>
      <c r="G165" s="5" t="s">
        <v>11</v>
      </c>
      <c r="H165" s="3" t="s">
        <v>304</v>
      </c>
    </row>
    <row r="166" spans="1:8" ht="41.4" x14ac:dyDescent="0.25">
      <c r="A166" s="3" t="s">
        <v>8</v>
      </c>
      <c r="B166" s="3" t="s">
        <v>306</v>
      </c>
      <c r="C166" s="4" t="str">
        <f>HYPERLINK("http://www.rncp.cncp.gouv.fr/grand-public/visualisationFiche?format=fr&amp;fiche=10040","10040")</f>
        <v>10040</v>
      </c>
      <c r="D166" s="4" t="str">
        <f>HYPERLINK("http://www.intercariforef.org/formations/certification-47420.html","47420")</f>
        <v>47420</v>
      </c>
      <c r="E166" s="5">
        <v>12414</v>
      </c>
      <c r="F166" s="5" t="s">
        <v>10</v>
      </c>
      <c r="G166" s="5" t="s">
        <v>11</v>
      </c>
      <c r="H166" s="3" t="s">
        <v>304</v>
      </c>
    </row>
    <row r="167" spans="1:8" ht="41.4" x14ac:dyDescent="0.25">
      <c r="A167" s="3" t="s">
        <v>8</v>
      </c>
      <c r="B167" s="3" t="s">
        <v>307</v>
      </c>
      <c r="C167" s="4" t="str">
        <f>HYPERLINK("http://www.rncp.cncp.gouv.fr/grand-public/visualisationFiche?format=fr&amp;fiche=10116","10116")</f>
        <v>10116</v>
      </c>
      <c r="D167" s="4" t="str">
        <f>HYPERLINK("http://www.intercariforef.org/formations/certification-47421.html","47421")</f>
        <v>47421</v>
      </c>
      <c r="E167" s="5">
        <v>12415</v>
      </c>
      <c r="F167" s="5" t="s">
        <v>10</v>
      </c>
      <c r="G167" s="5" t="s">
        <v>11</v>
      </c>
      <c r="H167" s="3" t="s">
        <v>304</v>
      </c>
    </row>
    <row r="168" spans="1:8" ht="27.6" x14ac:dyDescent="0.25">
      <c r="A168" s="3" t="s">
        <v>8</v>
      </c>
      <c r="B168" s="3" t="s">
        <v>308</v>
      </c>
      <c r="C168" s="4" t="str">
        <f>HYPERLINK("http://www.rncp.cncp.gouv.fr/grand-public/visualisationFiche?format=fr&amp;fiche=8712","8712")</f>
        <v>8712</v>
      </c>
      <c r="D168" s="4" t="str">
        <f>HYPERLINK("http://www.intercariforef.org/formations/certification-74718.html","74718")</f>
        <v>74718</v>
      </c>
      <c r="E168" s="5">
        <v>131759</v>
      </c>
      <c r="F168" s="5" t="s">
        <v>10</v>
      </c>
      <c r="G168" s="5" t="s">
        <v>11</v>
      </c>
      <c r="H168" s="3" t="s">
        <v>309</v>
      </c>
    </row>
    <row r="169" spans="1:8" ht="27.6" x14ac:dyDescent="0.25">
      <c r="A169" s="3" t="s">
        <v>8</v>
      </c>
      <c r="B169" s="3" t="s">
        <v>310</v>
      </c>
      <c r="C169" s="5"/>
      <c r="D169" s="4" t="str">
        <f>HYPERLINK("http://www.intercariforef.org/formations/certification-47505.html","47505")</f>
        <v>47505</v>
      </c>
      <c r="E169" s="5">
        <v>12255</v>
      </c>
      <c r="F169" s="5" t="s">
        <v>10</v>
      </c>
      <c r="G169" s="5" t="s">
        <v>11</v>
      </c>
      <c r="H169" s="3" t="s">
        <v>311</v>
      </c>
    </row>
    <row r="170" spans="1:8" ht="27.6" x14ac:dyDescent="0.25">
      <c r="A170" s="3" t="s">
        <v>8</v>
      </c>
      <c r="B170" s="3" t="s">
        <v>312</v>
      </c>
      <c r="C170" s="4" t="str">
        <f>HYPERLINK("http://www.rncp.cncp.gouv.fr/grand-public/visualisationFiche?format=fr&amp;fiche=14240","14240")</f>
        <v>14240</v>
      </c>
      <c r="D170" s="4" t="str">
        <f>HYPERLINK("http://www.intercariforef.org/formations/certification-59771.html","59771")</f>
        <v>59771</v>
      </c>
      <c r="E170" s="5">
        <v>12327</v>
      </c>
      <c r="F170" s="5" t="s">
        <v>10</v>
      </c>
      <c r="G170" s="5" t="s">
        <v>11</v>
      </c>
      <c r="H170" s="3" t="s">
        <v>313</v>
      </c>
    </row>
    <row r="171" spans="1:8" ht="27.6" x14ac:dyDescent="0.25">
      <c r="A171" s="3" t="s">
        <v>8</v>
      </c>
      <c r="B171" s="3" t="s">
        <v>314</v>
      </c>
      <c r="C171" s="4" t="str">
        <f>HYPERLINK("http://www.rncp.cncp.gouv.fr/grand-public/visualisationFiche?format=fr&amp;fiche=14275","14275")</f>
        <v>14275</v>
      </c>
      <c r="D171" s="4" t="str">
        <f>HYPERLINK("http://www.intercariforef.org/formations/certification-12906.html","12906")</f>
        <v>12906</v>
      </c>
      <c r="E171" s="5">
        <v>12325</v>
      </c>
      <c r="F171" s="5" t="s">
        <v>10</v>
      </c>
      <c r="G171" s="5" t="s">
        <v>11</v>
      </c>
      <c r="H171" s="3" t="s">
        <v>313</v>
      </c>
    </row>
    <row r="172" spans="1:8" ht="13.8" x14ac:dyDescent="0.25">
      <c r="A172" s="3" t="s">
        <v>8</v>
      </c>
      <c r="B172" s="3" t="s">
        <v>315</v>
      </c>
      <c r="C172" s="4" t="str">
        <f>HYPERLINK("http://www.rncp.cncp.gouv.fr/grand-public/visualisationFiche?format=fr&amp;fiche=17080","17080")</f>
        <v>17080</v>
      </c>
      <c r="D172" s="4" t="str">
        <f>HYPERLINK("http://www.intercariforef.org/formations/certification-76847.html","76847")</f>
        <v>76847</v>
      </c>
      <c r="E172" s="5">
        <v>9625</v>
      </c>
      <c r="F172" s="5" t="s">
        <v>10</v>
      </c>
      <c r="G172" s="5" t="s">
        <v>11</v>
      </c>
      <c r="H172" s="3" t="s">
        <v>316</v>
      </c>
    </row>
    <row r="173" spans="1:8" ht="27.6" x14ac:dyDescent="0.25">
      <c r="A173" s="3" t="s">
        <v>8</v>
      </c>
      <c r="B173" s="3" t="s">
        <v>317</v>
      </c>
      <c r="C173" s="4" t="str">
        <f>HYPERLINK("http://www.rncp.cncp.gouv.fr/grand-public/visualisationFiche?format=fr&amp;fiche=2030","2030")</f>
        <v>2030</v>
      </c>
      <c r="D173" s="4" t="str">
        <f>HYPERLINK("http://www.intercariforef.org/formations/certification-74665.html","74665")</f>
        <v>74665</v>
      </c>
      <c r="E173" s="5">
        <v>145432</v>
      </c>
      <c r="F173" s="5" t="s">
        <v>10</v>
      </c>
      <c r="G173" s="5" t="s">
        <v>11</v>
      </c>
      <c r="H173" s="3" t="s">
        <v>318</v>
      </c>
    </row>
    <row r="174" spans="1:8" ht="27.6" x14ac:dyDescent="0.25">
      <c r="A174" s="3" t="s">
        <v>8</v>
      </c>
      <c r="B174" s="3" t="s">
        <v>319</v>
      </c>
      <c r="C174" s="4" t="str">
        <f>HYPERLINK("http://www.rncp.cncp.gouv.fr/grand-public/visualisationFiche?format=fr&amp;fiche=16995","16995")</f>
        <v>16995</v>
      </c>
      <c r="D174" s="4" t="str">
        <f>HYPERLINK("http://www.intercariforef.org/formations/certification-47761.html","47761")</f>
        <v>47761</v>
      </c>
      <c r="E174" s="5">
        <v>12348</v>
      </c>
      <c r="F174" s="5" t="s">
        <v>10</v>
      </c>
      <c r="G174" s="5" t="s">
        <v>11</v>
      </c>
      <c r="H174" s="3" t="s">
        <v>320</v>
      </c>
    </row>
    <row r="175" spans="1:8" ht="27.6" x14ac:dyDescent="0.25">
      <c r="A175" s="3" t="s">
        <v>8</v>
      </c>
      <c r="B175" s="3" t="s">
        <v>321</v>
      </c>
      <c r="C175" s="4" t="str">
        <f>HYPERLINK("http://www.rncp.cncp.gouv.fr/grand-public/visualisationFiche?format=fr&amp;fiche=17000","17000")</f>
        <v>17000</v>
      </c>
      <c r="D175" s="4" t="str">
        <f>HYPERLINK("http://www.intercariforef.org/formations/certification-47511.html","47511")</f>
        <v>47511</v>
      </c>
      <c r="E175" s="5">
        <v>12347</v>
      </c>
      <c r="F175" s="5" t="s">
        <v>10</v>
      </c>
      <c r="G175" s="5" t="s">
        <v>11</v>
      </c>
      <c r="H175" s="3" t="s">
        <v>320</v>
      </c>
    </row>
    <row r="176" spans="1:8" ht="27.6" x14ac:dyDescent="0.25">
      <c r="A176" s="3" t="s">
        <v>8</v>
      </c>
      <c r="B176" s="3" t="s">
        <v>322</v>
      </c>
      <c r="C176" s="4" t="str">
        <f>HYPERLINK("http://www.rncp.cncp.gouv.fr/grand-public/visualisationFiche?format=fr&amp;fiche=17007","17007")</f>
        <v>17007</v>
      </c>
      <c r="D176" s="4" t="str">
        <f>HYPERLINK("http://www.intercariforef.org/formations/certification-80062.html","80062")</f>
        <v>80062</v>
      </c>
      <c r="E176" s="5">
        <v>12350</v>
      </c>
      <c r="F176" s="5" t="s">
        <v>10</v>
      </c>
      <c r="G176" s="5" t="s">
        <v>11</v>
      </c>
      <c r="H176" s="3" t="s">
        <v>320</v>
      </c>
    </row>
    <row r="177" spans="1:8" ht="27.6" x14ac:dyDescent="0.25">
      <c r="A177" s="3" t="s">
        <v>8</v>
      </c>
      <c r="B177" s="3" t="s">
        <v>323</v>
      </c>
      <c r="C177" s="4" t="str">
        <f>HYPERLINK("http://www.rncp.cncp.gouv.fr/grand-public/visualisationFiche?format=fr&amp;fiche=17008","17008")</f>
        <v>17008</v>
      </c>
      <c r="D177" s="4" t="str">
        <f>HYPERLINK("http://www.intercariforef.org/formations/certification-47762.html","47762")</f>
        <v>47762</v>
      </c>
      <c r="E177" s="5">
        <v>12349</v>
      </c>
      <c r="F177" s="5" t="s">
        <v>10</v>
      </c>
      <c r="G177" s="5" t="s">
        <v>11</v>
      </c>
      <c r="H177" s="3" t="s">
        <v>320</v>
      </c>
    </row>
    <row r="178" spans="1:8" ht="27.6" x14ac:dyDescent="0.25">
      <c r="A178" s="3" t="s">
        <v>8</v>
      </c>
      <c r="B178" s="3" t="s">
        <v>324</v>
      </c>
      <c r="C178" s="5"/>
      <c r="D178" s="4" t="str">
        <f>HYPERLINK("http://www.intercariforef.org/formations/certification-51789.html","51789")</f>
        <v>51789</v>
      </c>
      <c r="E178" s="5">
        <v>145453</v>
      </c>
      <c r="F178" s="5" t="s">
        <v>10</v>
      </c>
      <c r="G178" s="5" t="s">
        <v>11</v>
      </c>
      <c r="H178" s="3" t="s">
        <v>325</v>
      </c>
    </row>
    <row r="179" spans="1:8" ht="27.6" x14ac:dyDescent="0.25">
      <c r="A179" s="3" t="s">
        <v>8</v>
      </c>
      <c r="B179" s="3" t="s">
        <v>326</v>
      </c>
      <c r="C179" s="4" t="str">
        <f>HYPERLINK("http://www.rncp.cncp.gouv.fr/grand-public/visualisationFiche?format=fr&amp;fiche=15311","15311")</f>
        <v>15311</v>
      </c>
      <c r="D179" s="4" t="str">
        <f>HYPERLINK("http://www.intercariforef.org/formations/certification-62735.html","62735")</f>
        <v>62735</v>
      </c>
      <c r="E179" s="5">
        <v>12363</v>
      </c>
      <c r="F179" s="5" t="s">
        <v>10</v>
      </c>
      <c r="G179" s="5" t="s">
        <v>11</v>
      </c>
      <c r="H179" s="3" t="s">
        <v>327</v>
      </c>
    </row>
    <row r="180" spans="1:8" ht="27.6" x14ac:dyDescent="0.25">
      <c r="A180" s="3" t="s">
        <v>8</v>
      </c>
      <c r="B180" s="3" t="s">
        <v>328</v>
      </c>
      <c r="C180" s="4" t="str">
        <f>HYPERLINK("http://www.rncp.cncp.gouv.fr/grand-public/visualisationFiche?format=fr&amp;fiche=15313","15313")</f>
        <v>15313</v>
      </c>
      <c r="D180" s="4" t="str">
        <f>HYPERLINK("http://www.intercariforef.org/formations/certification-50158.html","50158")</f>
        <v>50158</v>
      </c>
      <c r="E180" s="5">
        <v>12353</v>
      </c>
      <c r="F180" s="5" t="s">
        <v>10</v>
      </c>
      <c r="G180" s="5" t="s">
        <v>11</v>
      </c>
      <c r="H180" s="3" t="s">
        <v>327</v>
      </c>
    </row>
    <row r="181" spans="1:8" ht="27.6" x14ac:dyDescent="0.25">
      <c r="A181" s="3" t="s">
        <v>8</v>
      </c>
      <c r="B181" s="3" t="s">
        <v>329</v>
      </c>
      <c r="C181" s="4" t="str">
        <f>HYPERLINK("http://www.rncp.cncp.gouv.fr/grand-public/visualisationFiche?format=fr&amp;fiche=15310","15310")</f>
        <v>15310</v>
      </c>
      <c r="D181" s="4" t="str">
        <f>HYPERLINK("http://www.intercariforef.org/formations/certification-47781.html","47781")</f>
        <v>47781</v>
      </c>
      <c r="E181" s="5">
        <v>11772</v>
      </c>
      <c r="F181" s="5" t="s">
        <v>10</v>
      </c>
      <c r="G181" s="5" t="s">
        <v>11</v>
      </c>
      <c r="H181" s="3" t="s">
        <v>327</v>
      </c>
    </row>
    <row r="182" spans="1:8" ht="27.6" x14ac:dyDescent="0.25">
      <c r="A182" s="3" t="s">
        <v>8</v>
      </c>
      <c r="B182" s="3" t="s">
        <v>330</v>
      </c>
      <c r="C182" s="4" t="str">
        <f>HYPERLINK("http://www.rncp.cncp.gouv.fr/grand-public/visualisationFiche?format=fr&amp;fiche=15314","15314")</f>
        <v>15314</v>
      </c>
      <c r="D182" s="4" t="str">
        <f>HYPERLINK("http://www.intercariforef.org/formations/certification-59775.html","59775")</f>
        <v>59775</v>
      </c>
      <c r="E182" s="5">
        <v>12354</v>
      </c>
      <c r="F182" s="5" t="s">
        <v>10</v>
      </c>
      <c r="G182" s="5" t="s">
        <v>11</v>
      </c>
      <c r="H182" s="3" t="s">
        <v>327</v>
      </c>
    </row>
    <row r="183" spans="1:8" ht="27.6" x14ac:dyDescent="0.25">
      <c r="A183" s="3" t="s">
        <v>8</v>
      </c>
      <c r="B183" s="3" t="s">
        <v>331</v>
      </c>
      <c r="C183" s="4" t="str">
        <f>HYPERLINK("http://www.rncp.cncp.gouv.fr/grand-public/visualisationFiche?format=fr&amp;fiche=15312","15312")</f>
        <v>15312</v>
      </c>
      <c r="D183" s="4" t="str">
        <f>HYPERLINK("http://www.intercariforef.org/formations/certification-62033.html","62033")</f>
        <v>62033</v>
      </c>
      <c r="E183" s="5">
        <v>12355</v>
      </c>
      <c r="F183" s="5" t="s">
        <v>10</v>
      </c>
      <c r="G183" s="5" t="s">
        <v>11</v>
      </c>
      <c r="H183" s="3" t="s">
        <v>327</v>
      </c>
    </row>
    <row r="184" spans="1:8" ht="27.6" x14ac:dyDescent="0.25">
      <c r="A184" s="3" t="s">
        <v>8</v>
      </c>
      <c r="B184" s="3" t="s">
        <v>332</v>
      </c>
      <c r="C184" s="4" t="str">
        <f>HYPERLINK("http://www.rncp.cncp.gouv.fr/grand-public/visualisationFiche?format=fr&amp;fiche=13949","13949")</f>
        <v>13949</v>
      </c>
      <c r="D184" s="4" t="str">
        <f>HYPERLINK("http://www.intercariforef.org/formations/certification-47557.html","47557")</f>
        <v>47557</v>
      </c>
      <c r="E184" s="5">
        <v>12357</v>
      </c>
      <c r="F184" s="5" t="s">
        <v>10</v>
      </c>
      <c r="G184" s="5" t="s">
        <v>11</v>
      </c>
      <c r="H184" s="3" t="s">
        <v>333</v>
      </c>
    </row>
    <row r="185" spans="1:8" ht="27.6" x14ac:dyDescent="0.25">
      <c r="A185" s="3" t="s">
        <v>8</v>
      </c>
      <c r="B185" s="3" t="s">
        <v>334</v>
      </c>
      <c r="C185" s="4" t="str">
        <f>HYPERLINK("http://www.rncp.cncp.gouv.fr/grand-public/visualisationFiche?format=fr&amp;fiche=13386","13386")</f>
        <v>13386</v>
      </c>
      <c r="D185" s="4" t="str">
        <f>HYPERLINK("http://www.intercariforef.org/formations/certification-82908.html","82908")</f>
        <v>82908</v>
      </c>
      <c r="E185" s="5">
        <v>12362</v>
      </c>
      <c r="F185" s="5" t="s">
        <v>10</v>
      </c>
      <c r="G185" s="5" t="s">
        <v>11</v>
      </c>
      <c r="H185" s="3" t="s">
        <v>333</v>
      </c>
    </row>
    <row r="186" spans="1:8" ht="27.6" x14ac:dyDescent="0.25">
      <c r="A186" s="3" t="s">
        <v>8</v>
      </c>
      <c r="B186" s="3" t="s">
        <v>335</v>
      </c>
      <c r="C186" s="4" t="str">
        <f>HYPERLINK("http://www.rncp.cncp.gouv.fr/grand-public/visualisationFiche?format=fr&amp;fiche=13947","13947")</f>
        <v>13947</v>
      </c>
      <c r="D186" s="4" t="str">
        <f>HYPERLINK("http://www.intercariforef.org/formations/certification-47589.html","47589")</f>
        <v>47589</v>
      </c>
      <c r="E186" s="5">
        <v>12358</v>
      </c>
      <c r="F186" s="5" t="s">
        <v>10</v>
      </c>
      <c r="G186" s="5" t="s">
        <v>11</v>
      </c>
      <c r="H186" s="3" t="s">
        <v>333</v>
      </c>
    </row>
    <row r="187" spans="1:8" ht="27.6" x14ac:dyDescent="0.25">
      <c r="A187" s="3" t="s">
        <v>8</v>
      </c>
      <c r="B187" s="3" t="s">
        <v>336</v>
      </c>
      <c r="C187" s="5"/>
      <c r="D187" s="4" t="str">
        <f>HYPERLINK("http://www.intercariforef.org/formations/certification-77301.html","77301")</f>
        <v>77301</v>
      </c>
      <c r="E187" s="5">
        <v>12360</v>
      </c>
      <c r="F187" s="5" t="s">
        <v>10</v>
      </c>
      <c r="G187" s="5" t="s">
        <v>11</v>
      </c>
      <c r="H187" s="3" t="s">
        <v>333</v>
      </c>
    </row>
    <row r="188" spans="1:8" ht="27.6" x14ac:dyDescent="0.25">
      <c r="A188" s="3" t="s">
        <v>8</v>
      </c>
      <c r="B188" s="3" t="s">
        <v>337</v>
      </c>
      <c r="C188" s="5"/>
      <c r="D188" s="4" t="str">
        <f>HYPERLINK("http://www.intercariforef.org/formations/certification-47580.html","47580")</f>
        <v>47580</v>
      </c>
      <c r="E188" s="5">
        <v>12359</v>
      </c>
      <c r="F188" s="5" t="s">
        <v>10</v>
      </c>
      <c r="G188" s="5" t="s">
        <v>11</v>
      </c>
      <c r="H188" s="3" t="s">
        <v>333</v>
      </c>
    </row>
    <row r="189" spans="1:8" ht="27.6" x14ac:dyDescent="0.25">
      <c r="A189" s="3" t="s">
        <v>8</v>
      </c>
      <c r="B189" s="3" t="s">
        <v>338</v>
      </c>
      <c r="C189" s="4" t="str">
        <f>HYPERLINK("http://www.rncp.cncp.gouv.fr/grand-public/visualisationFiche?format=fr&amp;fiche=13838","13838")</f>
        <v>13838</v>
      </c>
      <c r="D189" s="4" t="str">
        <f>HYPERLINK("http://www.intercariforef.org/formations/certification-82907.html","82907")</f>
        <v>82907</v>
      </c>
      <c r="E189" s="5">
        <v>12361</v>
      </c>
      <c r="F189" s="5" t="s">
        <v>10</v>
      </c>
      <c r="G189" s="5" t="s">
        <v>11</v>
      </c>
      <c r="H189" s="3" t="s">
        <v>333</v>
      </c>
    </row>
    <row r="190" spans="1:8" ht="27.6" x14ac:dyDescent="0.25">
      <c r="A190" s="3" t="s">
        <v>8</v>
      </c>
      <c r="B190" s="3" t="s">
        <v>339</v>
      </c>
      <c r="C190" s="4" t="str">
        <f>HYPERLINK("http://www.rncp.cncp.gouv.fr/grand-public/visualisationFiche?format=fr&amp;fiche=13950","13950")</f>
        <v>13950</v>
      </c>
      <c r="D190" s="4" t="str">
        <f>HYPERLINK("http://www.intercariforef.org/formations/certification-13356.html","13356")</f>
        <v>13356</v>
      </c>
      <c r="E190" s="5">
        <v>12356</v>
      </c>
      <c r="F190" s="5" t="s">
        <v>10</v>
      </c>
      <c r="G190" s="5" t="s">
        <v>11</v>
      </c>
      <c r="H190" s="3" t="s">
        <v>333</v>
      </c>
    </row>
    <row r="191" spans="1:8" ht="27.6" x14ac:dyDescent="0.25">
      <c r="A191" s="3" t="s">
        <v>8</v>
      </c>
      <c r="B191" s="3" t="s">
        <v>340</v>
      </c>
      <c r="C191" s="4" t="str">
        <f>HYPERLINK("http://www.rncp.cncp.gouv.fr/grand-public/visualisationFiche?format=fr&amp;fiche=20174","20174")</f>
        <v>20174</v>
      </c>
      <c r="D191" s="4" t="str">
        <f>HYPERLINK("http://www.intercariforef.org/formations/certification-47710.html","47710")</f>
        <v>47710</v>
      </c>
      <c r="E191" s="5">
        <v>13767</v>
      </c>
      <c r="F191" s="5" t="s">
        <v>10</v>
      </c>
      <c r="G191" s="5" t="s">
        <v>11</v>
      </c>
      <c r="H191" s="3" t="s">
        <v>341</v>
      </c>
    </row>
    <row r="192" spans="1:8" ht="27.6" x14ac:dyDescent="0.25">
      <c r="A192" s="3" t="s">
        <v>8</v>
      </c>
      <c r="B192" s="3" t="s">
        <v>342</v>
      </c>
      <c r="C192" s="4" t="str">
        <f>HYPERLINK("http://www.rncp.cncp.gouv.fr/grand-public/visualisationFiche?format=fr&amp;fiche=20136","20136")</f>
        <v>20136</v>
      </c>
      <c r="D192" s="4" t="str">
        <f>HYPERLINK("http://www.intercariforef.org/formations/certification-12922.html","12922")</f>
        <v>12922</v>
      </c>
      <c r="E192" s="5">
        <v>13773</v>
      </c>
      <c r="F192" s="5" t="s">
        <v>10</v>
      </c>
      <c r="G192" s="5" t="s">
        <v>11</v>
      </c>
      <c r="H192" s="3" t="s">
        <v>341</v>
      </c>
    </row>
    <row r="193" spans="1:8" ht="27.6" x14ac:dyDescent="0.25">
      <c r="A193" s="3" t="s">
        <v>8</v>
      </c>
      <c r="B193" s="3" t="s">
        <v>343</v>
      </c>
      <c r="C193" s="4" t="str">
        <f>HYPERLINK("http://www.rncp.cncp.gouv.fr/grand-public/visualisationFiche?format=fr&amp;fiche=20172","20172")</f>
        <v>20172</v>
      </c>
      <c r="D193" s="4" t="str">
        <f>HYPERLINK("http://www.intercariforef.org/formations/certification-12923.html","12923")</f>
        <v>12923</v>
      </c>
      <c r="E193" s="5">
        <v>13774</v>
      </c>
      <c r="F193" s="5" t="s">
        <v>10</v>
      </c>
      <c r="G193" s="5" t="s">
        <v>11</v>
      </c>
      <c r="H193" s="3" t="s">
        <v>341</v>
      </c>
    </row>
    <row r="194" spans="1:8" ht="27.6" x14ac:dyDescent="0.25">
      <c r="A194" s="3" t="s">
        <v>8</v>
      </c>
      <c r="B194" s="3" t="s">
        <v>344</v>
      </c>
      <c r="C194" s="4" t="str">
        <f>HYPERLINK("http://www.rncp.cncp.gouv.fr/grand-public/visualisationFiche?format=fr&amp;fiche=20173","20173")</f>
        <v>20173</v>
      </c>
      <c r="D194" s="4" t="str">
        <f>HYPERLINK("http://www.intercariforef.org/formations/certification-12924.html","12924")</f>
        <v>12924</v>
      </c>
      <c r="E194" s="5">
        <v>13775</v>
      </c>
      <c r="F194" s="5" t="s">
        <v>10</v>
      </c>
      <c r="G194" s="5" t="s">
        <v>11</v>
      </c>
      <c r="H194" s="3" t="s">
        <v>341</v>
      </c>
    </row>
    <row r="195" spans="1:8" ht="27.6" x14ac:dyDescent="0.25">
      <c r="A195" s="3" t="s">
        <v>8</v>
      </c>
      <c r="B195" s="3" t="s">
        <v>345</v>
      </c>
      <c r="C195" s="4" t="str">
        <f>HYPERLINK("http://www.rncp.cncp.gouv.fr/grand-public/visualisationFiche?format=fr&amp;fiche=20170","20170")</f>
        <v>20170</v>
      </c>
      <c r="D195" s="4" t="str">
        <f>HYPERLINK("http://www.intercariforef.org/formations/certification-81075.html","81075")</f>
        <v>81075</v>
      </c>
      <c r="E195" s="5">
        <v>13776</v>
      </c>
      <c r="F195" s="5" t="s">
        <v>10</v>
      </c>
      <c r="G195" s="5" t="s">
        <v>11</v>
      </c>
      <c r="H195" s="3" t="s">
        <v>341</v>
      </c>
    </row>
    <row r="196" spans="1:8" ht="27.6" x14ac:dyDescent="0.25">
      <c r="A196" s="3" t="s">
        <v>8</v>
      </c>
      <c r="B196" s="3" t="s">
        <v>346</v>
      </c>
      <c r="C196" s="4" t="str">
        <f>HYPERLINK("http://www.rncp.cncp.gouv.fr/grand-public/visualisationFiche?format=fr&amp;fiche=13842","13842")</f>
        <v>13842</v>
      </c>
      <c r="D196" s="4" t="str">
        <f>HYPERLINK("http://www.intercariforef.org/formations/certification-59034.html","59034")</f>
        <v>59034</v>
      </c>
      <c r="E196" s="5">
        <v>12367</v>
      </c>
      <c r="F196" s="5" t="s">
        <v>10</v>
      </c>
      <c r="G196" s="5" t="s">
        <v>11</v>
      </c>
      <c r="H196" s="3" t="s">
        <v>347</v>
      </c>
    </row>
    <row r="197" spans="1:8" ht="27.6" x14ac:dyDescent="0.25">
      <c r="A197" s="3" t="s">
        <v>8</v>
      </c>
      <c r="B197" s="3" t="s">
        <v>348</v>
      </c>
      <c r="C197" s="4" t="str">
        <f>HYPERLINK("http://www.rncp.cncp.gouv.fr/grand-public/visualisationFiche?format=fr&amp;fiche=13839","13839")</f>
        <v>13839</v>
      </c>
      <c r="D197" s="4" t="str">
        <f>HYPERLINK("http://www.intercariforef.org/formations/certification-59039.html","59039")</f>
        <v>59039</v>
      </c>
      <c r="E197" s="5">
        <v>12366</v>
      </c>
      <c r="F197" s="5" t="s">
        <v>10</v>
      </c>
      <c r="G197" s="5" t="s">
        <v>11</v>
      </c>
      <c r="H197" s="3" t="s">
        <v>347</v>
      </c>
    </row>
    <row r="198" spans="1:8" ht="27.6" x14ac:dyDescent="0.25">
      <c r="A198" s="3" t="s">
        <v>8</v>
      </c>
      <c r="B198" s="3" t="s">
        <v>349</v>
      </c>
      <c r="C198" s="4" t="str">
        <f>HYPERLINK("http://www.rncp.cncp.gouv.fr/grand-public/visualisationFiche?format=fr&amp;fiche=13862","13862")</f>
        <v>13862</v>
      </c>
      <c r="D198" s="4" t="str">
        <f>HYPERLINK("http://www.intercariforef.org/formations/certification-59040.html","59040")</f>
        <v>59040</v>
      </c>
      <c r="E198" s="5">
        <v>11814</v>
      </c>
      <c r="F198" s="5" t="s">
        <v>10</v>
      </c>
      <c r="G198" s="5" t="s">
        <v>11</v>
      </c>
      <c r="H198" s="3" t="s">
        <v>350</v>
      </c>
    </row>
    <row r="199" spans="1:8" ht="27.6" x14ac:dyDescent="0.25">
      <c r="A199" s="3" t="s">
        <v>8</v>
      </c>
      <c r="B199" s="3" t="s">
        <v>351</v>
      </c>
      <c r="C199" s="4" t="str">
        <f>HYPERLINK("http://www.rncp.cncp.gouv.fr/grand-public/visualisationFiche?format=fr&amp;fiche=13843","13843")</f>
        <v>13843</v>
      </c>
      <c r="D199" s="4" t="str">
        <f>HYPERLINK("http://www.intercariforef.org/formations/certification-59036.html","59036")</f>
        <v>59036</v>
      </c>
      <c r="E199" s="5">
        <v>12365</v>
      </c>
      <c r="F199" s="5" t="s">
        <v>10</v>
      </c>
      <c r="G199" s="5" t="s">
        <v>11</v>
      </c>
      <c r="H199" s="3" t="s">
        <v>347</v>
      </c>
    </row>
    <row r="200" spans="1:8" ht="27.6" x14ac:dyDescent="0.25">
      <c r="A200" s="3" t="s">
        <v>8</v>
      </c>
      <c r="B200" s="3" t="s">
        <v>352</v>
      </c>
      <c r="C200" s="4" t="str">
        <f>HYPERLINK("http://www.rncp.cncp.gouv.fr/grand-public/visualisationFiche?format=fr&amp;fiche=13840","13840")</f>
        <v>13840</v>
      </c>
      <c r="D200" s="4" t="str">
        <f>HYPERLINK("http://www.intercariforef.org/formations/certification-59043.html","59043")</f>
        <v>59043</v>
      </c>
      <c r="E200" s="5">
        <v>12364</v>
      </c>
      <c r="F200" s="5" t="s">
        <v>10</v>
      </c>
      <c r="G200" s="5" t="s">
        <v>11</v>
      </c>
      <c r="H200" s="3" t="s">
        <v>347</v>
      </c>
    </row>
    <row r="201" spans="1:8" ht="27.6" x14ac:dyDescent="0.25">
      <c r="A201" s="3" t="s">
        <v>8</v>
      </c>
      <c r="B201" s="3" t="s">
        <v>353</v>
      </c>
      <c r="C201" s="4" t="str">
        <f>HYPERLINK("http://www.rncp.cncp.gouv.fr/grand-public/visualisationFiche?format=fr&amp;fiche=4782","4782")</f>
        <v>4782</v>
      </c>
      <c r="D201" s="4" t="str">
        <f>HYPERLINK("http://www.intercariforef.org/formations/certification-47649.html","47649")</f>
        <v>47649</v>
      </c>
      <c r="E201" s="5">
        <v>12341</v>
      </c>
      <c r="F201" s="5" t="s">
        <v>10</v>
      </c>
      <c r="G201" s="5" t="s">
        <v>11</v>
      </c>
      <c r="H201" s="3" t="s">
        <v>354</v>
      </c>
    </row>
    <row r="202" spans="1:8" ht="27.6" x14ac:dyDescent="0.25">
      <c r="A202" s="3" t="s">
        <v>8</v>
      </c>
      <c r="B202" s="3" t="s">
        <v>355</v>
      </c>
      <c r="C202" s="4" t="str">
        <f>HYPERLINK("http://www.rncp.cncp.gouv.fr/grand-public/visualisationFiche?format=fr&amp;fiche=4779","4779")</f>
        <v>4779</v>
      </c>
      <c r="D202" s="4" t="str">
        <f>HYPERLINK("http://www.intercariforef.org/formations/certification-47645.html","47645")</f>
        <v>47645</v>
      </c>
      <c r="E202" s="5">
        <v>12339</v>
      </c>
      <c r="F202" s="5" t="s">
        <v>10</v>
      </c>
      <c r="G202" s="5" t="s">
        <v>11</v>
      </c>
      <c r="H202" s="3" t="s">
        <v>354</v>
      </c>
    </row>
    <row r="203" spans="1:8" ht="27.6" x14ac:dyDescent="0.25">
      <c r="A203" s="3" t="s">
        <v>8</v>
      </c>
      <c r="B203" s="3" t="s">
        <v>356</v>
      </c>
      <c r="C203" s="4" t="str">
        <f>HYPERLINK("http://www.rncp.cncp.gouv.fr/grand-public/visualisationFiche?format=fr&amp;fiche=4776","4776")</f>
        <v>4776</v>
      </c>
      <c r="D203" s="4" t="str">
        <f>HYPERLINK("http://www.intercariforef.org/formations/certification-47646.html","47646")</f>
        <v>47646</v>
      </c>
      <c r="E203" s="5">
        <v>12340</v>
      </c>
      <c r="F203" s="5" t="s">
        <v>10</v>
      </c>
      <c r="G203" s="5" t="s">
        <v>11</v>
      </c>
      <c r="H203" s="3" t="s">
        <v>354</v>
      </c>
    </row>
    <row r="204" spans="1:8" ht="27.6" x14ac:dyDescent="0.25">
      <c r="A204" s="3" t="s">
        <v>8</v>
      </c>
      <c r="B204" s="3" t="s">
        <v>357</v>
      </c>
      <c r="C204" s="4" t="str">
        <f>HYPERLINK("http://www.rncp.cncp.gouv.fr/grand-public/visualisationFiche?format=fr&amp;fiche=4773","4773")</f>
        <v>4773</v>
      </c>
      <c r="D204" s="4" t="str">
        <f>HYPERLINK("http://www.intercariforef.org/formations/certification-12936.html","12936")</f>
        <v>12936</v>
      </c>
      <c r="E204" s="5">
        <v>12337</v>
      </c>
      <c r="F204" s="5" t="s">
        <v>10</v>
      </c>
      <c r="G204" s="5" t="s">
        <v>11</v>
      </c>
      <c r="H204" s="3" t="s">
        <v>354</v>
      </c>
    </row>
    <row r="205" spans="1:8" ht="27.6" x14ac:dyDescent="0.25">
      <c r="A205" s="3" t="s">
        <v>8</v>
      </c>
      <c r="B205" s="3" t="s">
        <v>358</v>
      </c>
      <c r="C205" s="4" t="str">
        <f>HYPERLINK("http://www.rncp.cncp.gouv.fr/grand-public/visualisationFiche?format=fr&amp;fiche=4775","4775")</f>
        <v>4775</v>
      </c>
      <c r="D205" s="4" t="str">
        <f>HYPERLINK("http://www.intercariforef.org/formations/certification-47644.html","47644")</f>
        <v>47644</v>
      </c>
      <c r="E205" s="5">
        <v>12338</v>
      </c>
      <c r="F205" s="5" t="s">
        <v>10</v>
      </c>
      <c r="G205" s="5" t="s">
        <v>11</v>
      </c>
      <c r="H205" s="3" t="s">
        <v>354</v>
      </c>
    </row>
    <row r="206" spans="1:8" ht="41.4" x14ac:dyDescent="0.25">
      <c r="A206" s="3" t="s">
        <v>8</v>
      </c>
      <c r="B206" s="3" t="s">
        <v>359</v>
      </c>
      <c r="C206" s="4" t="str">
        <f>HYPERLINK("http://www.rncp.cncp.gouv.fr/grand-public/visualisationFiche?format=fr&amp;fiche=4774","4774")</f>
        <v>4774</v>
      </c>
      <c r="D206" s="4" t="str">
        <f>HYPERLINK("http://www.intercariforef.org/formations/certification-13355.html","13355")</f>
        <v>13355</v>
      </c>
      <c r="E206" s="5">
        <v>14013</v>
      </c>
      <c r="F206" s="5" t="s">
        <v>10</v>
      </c>
      <c r="G206" s="5" t="s">
        <v>11</v>
      </c>
      <c r="H206" s="3" t="s">
        <v>354</v>
      </c>
    </row>
    <row r="207" spans="1:8" ht="27.6" x14ac:dyDescent="0.25">
      <c r="A207" s="3" t="s">
        <v>8</v>
      </c>
      <c r="B207" s="3" t="s">
        <v>360</v>
      </c>
      <c r="C207" s="4" t="str">
        <f>HYPERLINK("http://www.rncp.cncp.gouv.fr/grand-public/visualisationFiche?format=fr&amp;fiche=4784","4784")</f>
        <v>4784</v>
      </c>
      <c r="D207" s="4" t="str">
        <f>HYPERLINK("http://www.intercariforef.org/formations/certification-12707.html","12707")</f>
        <v>12707</v>
      </c>
      <c r="E207" s="5">
        <v>12336</v>
      </c>
      <c r="F207" s="5" t="s">
        <v>10</v>
      </c>
      <c r="G207" s="5" t="s">
        <v>11</v>
      </c>
      <c r="H207" s="3" t="s">
        <v>354</v>
      </c>
    </row>
    <row r="208" spans="1:8" ht="27.6" x14ac:dyDescent="0.25">
      <c r="A208" s="3" t="s">
        <v>8</v>
      </c>
      <c r="B208" s="3" t="s">
        <v>361</v>
      </c>
      <c r="C208" s="4" t="str">
        <f>HYPERLINK("http://www.rncp.cncp.gouv.fr/grand-public/visualisationFiche?format=fr&amp;fiche=19881","19881")</f>
        <v>19881</v>
      </c>
      <c r="D208" s="4" t="str">
        <f>HYPERLINK("http://www.intercariforef.org/formations/certification-81063.html","81063")</f>
        <v>81063</v>
      </c>
      <c r="E208" s="5">
        <v>145454</v>
      </c>
      <c r="F208" s="5" t="s">
        <v>10</v>
      </c>
      <c r="G208" s="5" t="s">
        <v>11</v>
      </c>
      <c r="H208" s="3" t="s">
        <v>362</v>
      </c>
    </row>
    <row r="209" spans="1:8" ht="27.6" x14ac:dyDescent="0.25">
      <c r="A209" s="3" t="s">
        <v>8</v>
      </c>
      <c r="B209" s="3" t="s">
        <v>363</v>
      </c>
      <c r="C209" s="4" t="str">
        <f>HYPERLINK("http://www.rncp.cncp.gouv.fr/grand-public/visualisationFiche?format=fr&amp;fiche=19885","19885")</f>
        <v>19885</v>
      </c>
      <c r="D209" s="4" t="str">
        <f>HYPERLINK("http://www.intercariforef.org/formations/certification-49948.html","49948")</f>
        <v>49948</v>
      </c>
      <c r="E209" s="5">
        <v>13210</v>
      </c>
      <c r="F209" s="5" t="s">
        <v>10</v>
      </c>
      <c r="G209" s="5" t="s">
        <v>11</v>
      </c>
      <c r="H209" s="3" t="s">
        <v>364</v>
      </c>
    </row>
    <row r="210" spans="1:8" ht="27.6" x14ac:dyDescent="0.25">
      <c r="A210" s="3" t="s">
        <v>8</v>
      </c>
      <c r="B210" s="3" t="s">
        <v>365</v>
      </c>
      <c r="C210" s="4" t="str">
        <f>HYPERLINK("http://www.rncp.cncp.gouv.fr/grand-public/visualisationFiche?format=fr&amp;fiche=19886","19886")</f>
        <v>19886</v>
      </c>
      <c r="D210" s="4" t="str">
        <f>HYPERLINK("http://www.intercariforef.org/formations/certification-12938.html","12938")</f>
        <v>12938</v>
      </c>
      <c r="E210" s="5">
        <v>12329</v>
      </c>
      <c r="F210" s="5" t="s">
        <v>10</v>
      </c>
      <c r="G210" s="5" t="s">
        <v>11</v>
      </c>
      <c r="H210" s="3" t="s">
        <v>364</v>
      </c>
    </row>
    <row r="211" spans="1:8" ht="27.6" x14ac:dyDescent="0.25">
      <c r="A211" s="3" t="s">
        <v>8</v>
      </c>
      <c r="B211" s="3" t="s">
        <v>366</v>
      </c>
      <c r="C211" s="4" t="str">
        <f>HYPERLINK("http://www.rncp.cncp.gouv.fr/grand-public/visualisationFiche?format=fr&amp;fiche=19887","19887")</f>
        <v>19887</v>
      </c>
      <c r="D211" s="4" t="str">
        <f>HYPERLINK("http://www.intercariforef.org/formations/certification-12939.html","12939")</f>
        <v>12939</v>
      </c>
      <c r="E211" s="5">
        <v>13750</v>
      </c>
      <c r="F211" s="5" t="s">
        <v>10</v>
      </c>
      <c r="G211" s="5" t="s">
        <v>11</v>
      </c>
      <c r="H211" s="3" t="s">
        <v>364</v>
      </c>
    </row>
    <row r="212" spans="1:8" ht="27.6" x14ac:dyDescent="0.25">
      <c r="A212" s="3" t="s">
        <v>8</v>
      </c>
      <c r="B212" s="3" t="s">
        <v>367</v>
      </c>
      <c r="C212" s="4" t="str">
        <f>HYPERLINK("http://www.rncp.cncp.gouv.fr/grand-public/visualisationFiche?format=fr&amp;fiche=15699","15699")</f>
        <v>15699</v>
      </c>
      <c r="D212" s="4" t="str">
        <f>HYPERLINK("http://www.intercariforef.org/formations/certification-81123.html","81123")</f>
        <v>81123</v>
      </c>
      <c r="E212" s="5">
        <v>12371</v>
      </c>
      <c r="F212" s="5" t="s">
        <v>10</v>
      </c>
      <c r="G212" s="5" t="s">
        <v>11</v>
      </c>
      <c r="H212" s="3" t="s">
        <v>368</v>
      </c>
    </row>
    <row r="213" spans="1:8" ht="27.6" x14ac:dyDescent="0.25">
      <c r="A213" s="3" t="s">
        <v>8</v>
      </c>
      <c r="B213" s="3" t="s">
        <v>369</v>
      </c>
      <c r="C213" s="4" t="str">
        <f>HYPERLINK("http://www.rncp.cncp.gouv.fr/grand-public/visualisationFiche?format=fr&amp;fiche=15716","15716")</f>
        <v>15716</v>
      </c>
      <c r="D213" s="4" t="str">
        <f>HYPERLINK("http://www.intercariforef.org/formations/certification-47625.html","47625")</f>
        <v>47625</v>
      </c>
      <c r="E213" s="5">
        <v>12368</v>
      </c>
      <c r="F213" s="5" t="s">
        <v>10</v>
      </c>
      <c r="G213" s="5" t="s">
        <v>11</v>
      </c>
      <c r="H213" s="3" t="s">
        <v>368</v>
      </c>
    </row>
    <row r="214" spans="1:8" ht="27.6" x14ac:dyDescent="0.25">
      <c r="A214" s="3" t="s">
        <v>8</v>
      </c>
      <c r="B214" s="3" t="s">
        <v>370</v>
      </c>
      <c r="C214" s="4" t="str">
        <f>HYPERLINK("http://www.rncp.cncp.gouv.fr/grand-public/visualisationFiche?format=fr&amp;fiche=15701","15701")</f>
        <v>15701</v>
      </c>
      <c r="D214" s="4" t="str">
        <f>HYPERLINK("http://www.intercariforef.org/formations/certification-66164.html","66164")</f>
        <v>66164</v>
      </c>
      <c r="E214" s="5">
        <v>12370</v>
      </c>
      <c r="F214" s="5" t="s">
        <v>10</v>
      </c>
      <c r="G214" s="5" t="s">
        <v>11</v>
      </c>
      <c r="H214" s="3" t="s">
        <v>368</v>
      </c>
    </row>
    <row r="215" spans="1:8" ht="27.6" x14ac:dyDescent="0.25">
      <c r="A215" s="3" t="s">
        <v>8</v>
      </c>
      <c r="B215" s="3" t="s">
        <v>371</v>
      </c>
      <c r="C215" s="4" t="str">
        <f>HYPERLINK("http://www.rncp.cncp.gouv.fr/grand-public/visualisationFiche?format=fr&amp;fiche=15717","15717")</f>
        <v>15717</v>
      </c>
      <c r="D215" s="4" t="str">
        <f>HYPERLINK("http://www.intercariforef.org/formations/certification-47678.html","47678")</f>
        <v>47678</v>
      </c>
      <c r="E215" s="5">
        <v>12369</v>
      </c>
      <c r="F215" s="5" t="s">
        <v>10</v>
      </c>
      <c r="G215" s="5" t="s">
        <v>11</v>
      </c>
      <c r="H215" s="3" t="s">
        <v>368</v>
      </c>
    </row>
    <row r="216" spans="1:8" ht="27.6" x14ac:dyDescent="0.25">
      <c r="A216" s="3" t="s">
        <v>8</v>
      </c>
      <c r="B216" s="3" t="s">
        <v>372</v>
      </c>
      <c r="C216" s="4" t="str">
        <f>HYPERLINK("http://www.rncp.cncp.gouv.fr/grand-public/visualisationFiche?format=fr&amp;fiche=13257","13257")</f>
        <v>13257</v>
      </c>
      <c r="D216" s="4" t="str">
        <f>HYPERLINK("http://www.intercariforef.org/formations/certification-59116.html","59116")</f>
        <v>59116</v>
      </c>
      <c r="E216" s="5">
        <v>12333</v>
      </c>
      <c r="F216" s="5" t="s">
        <v>10</v>
      </c>
      <c r="G216" s="5" t="s">
        <v>11</v>
      </c>
      <c r="H216" s="3" t="s">
        <v>373</v>
      </c>
    </row>
    <row r="217" spans="1:8" ht="27.6" x14ac:dyDescent="0.25">
      <c r="A217" s="3" t="s">
        <v>8</v>
      </c>
      <c r="B217" s="3" t="s">
        <v>374</v>
      </c>
      <c r="C217" s="4" t="str">
        <f>HYPERLINK("http://www.rncp.cncp.gouv.fr/grand-public/visualisationFiche?format=fr&amp;fiche=17451","17451")</f>
        <v>17451</v>
      </c>
      <c r="D217" s="4" t="str">
        <f>HYPERLINK("http://www.intercariforef.org/formations/certification-59114.html","59114")</f>
        <v>59114</v>
      </c>
      <c r="E217" s="5">
        <v>12331</v>
      </c>
      <c r="F217" s="5" t="s">
        <v>10</v>
      </c>
      <c r="G217" s="5" t="s">
        <v>11</v>
      </c>
      <c r="H217" s="3" t="s">
        <v>373</v>
      </c>
    </row>
    <row r="218" spans="1:8" ht="27.6" x14ac:dyDescent="0.25">
      <c r="A218" s="3" t="s">
        <v>8</v>
      </c>
      <c r="B218" s="3" t="s">
        <v>375</v>
      </c>
      <c r="C218" s="4" t="str">
        <f>HYPERLINK("http://www.rncp.cncp.gouv.fr/grand-public/visualisationFiche?format=fr&amp;fiche=17448","17448")</f>
        <v>17448</v>
      </c>
      <c r="D218" s="4" t="str">
        <f>HYPERLINK("http://www.intercariforef.org/formations/certification-59115.html","59115")</f>
        <v>59115</v>
      </c>
      <c r="E218" s="5">
        <v>12332</v>
      </c>
      <c r="F218" s="5" t="s">
        <v>10</v>
      </c>
      <c r="G218" s="5" t="s">
        <v>11</v>
      </c>
      <c r="H218" s="3" t="s">
        <v>373</v>
      </c>
    </row>
    <row r="219" spans="1:8" ht="41.4" x14ac:dyDescent="0.25">
      <c r="A219" s="3" t="s">
        <v>8</v>
      </c>
      <c r="B219" s="3" t="s">
        <v>376</v>
      </c>
      <c r="C219" s="4" t="str">
        <f>HYPERLINK("http://www.rncp.cncp.gouv.fr/grand-public/visualisationFiche?format=fr&amp;fiche=17453","17453")</f>
        <v>17453</v>
      </c>
      <c r="D219" s="4" t="str">
        <f>HYPERLINK("http://www.intercariforef.org/formations/certification-59117.html","59117")</f>
        <v>59117</v>
      </c>
      <c r="E219" s="5">
        <v>12334</v>
      </c>
      <c r="F219" s="5" t="s">
        <v>10</v>
      </c>
      <c r="G219" s="5" t="s">
        <v>11</v>
      </c>
      <c r="H219" s="3" t="s">
        <v>373</v>
      </c>
    </row>
    <row r="220" spans="1:8" ht="27.6" x14ac:dyDescent="0.25">
      <c r="A220" s="3" t="s">
        <v>8</v>
      </c>
      <c r="B220" s="3" t="s">
        <v>377</v>
      </c>
      <c r="C220" s="4" t="str">
        <f>HYPERLINK("http://www.rncp.cncp.gouv.fr/grand-public/visualisationFiche?format=fr&amp;fiche=13128","13128")</f>
        <v>13128</v>
      </c>
      <c r="D220" s="4" t="str">
        <f>HYPERLINK("http://www.intercariforef.org/formations/certification-47491.html","47491")</f>
        <v>47491</v>
      </c>
      <c r="E220" s="5">
        <v>13798</v>
      </c>
      <c r="F220" s="5" t="s">
        <v>10</v>
      </c>
      <c r="G220" s="5" t="s">
        <v>11</v>
      </c>
      <c r="H220" s="3" t="s">
        <v>378</v>
      </c>
    </row>
    <row r="221" spans="1:8" ht="27.6" x14ac:dyDescent="0.25">
      <c r="A221" s="3" t="s">
        <v>8</v>
      </c>
      <c r="B221" s="3" t="s">
        <v>379</v>
      </c>
      <c r="C221" s="4" t="str">
        <f>HYPERLINK("http://www.rncp.cncp.gouv.fr/grand-public/visualisationFiche?format=fr&amp;fiche=13139","13139")</f>
        <v>13139</v>
      </c>
      <c r="D221" s="4" t="str">
        <f>HYPERLINK("http://www.intercariforef.org/formations/certification-51733.html","51733")</f>
        <v>51733</v>
      </c>
      <c r="E221" s="5">
        <v>12372</v>
      </c>
      <c r="F221" s="5" t="s">
        <v>10</v>
      </c>
      <c r="G221" s="5" t="s">
        <v>11</v>
      </c>
      <c r="H221" s="3" t="s">
        <v>378</v>
      </c>
    </row>
    <row r="222" spans="1:8" ht="27.6" x14ac:dyDescent="0.25">
      <c r="A222" s="3" t="s">
        <v>8</v>
      </c>
      <c r="B222" s="3" t="s">
        <v>380</v>
      </c>
      <c r="C222" s="4" t="str">
        <f>HYPERLINK("http://www.rncp.cncp.gouv.fr/grand-public/visualisationFiche?format=fr&amp;fiche=13137","13137")</f>
        <v>13137</v>
      </c>
      <c r="D222" s="4" t="str">
        <f>HYPERLINK("http://www.intercariforef.org/formations/certification-47698.html","47698")</f>
        <v>47698</v>
      </c>
      <c r="E222" s="5">
        <v>12373</v>
      </c>
      <c r="F222" s="5" t="s">
        <v>10</v>
      </c>
      <c r="G222" s="5" t="s">
        <v>11</v>
      </c>
      <c r="H222" s="3" t="s">
        <v>378</v>
      </c>
    </row>
    <row r="223" spans="1:8" ht="27.6" x14ac:dyDescent="0.25">
      <c r="A223" s="3" t="s">
        <v>8</v>
      </c>
      <c r="B223" s="3" t="s">
        <v>381</v>
      </c>
      <c r="C223" s="4" t="str">
        <f>HYPERLINK("http://www.rncp.cncp.gouv.fr/grand-public/visualisationFiche?format=fr&amp;fiche=12013","12013")</f>
        <v>12013</v>
      </c>
      <c r="D223" s="4" t="str">
        <f>HYPERLINK("http://www.intercariforef.org/formations/certification-53438.html","53438")</f>
        <v>53438</v>
      </c>
      <c r="E223" s="5">
        <v>13801</v>
      </c>
      <c r="F223" s="5" t="s">
        <v>10</v>
      </c>
      <c r="G223" s="5" t="s">
        <v>11</v>
      </c>
      <c r="H223" s="3" t="s">
        <v>378</v>
      </c>
    </row>
    <row r="224" spans="1:8" ht="27.6" x14ac:dyDescent="0.25">
      <c r="A224" s="3" t="s">
        <v>8</v>
      </c>
      <c r="B224" s="3" t="s">
        <v>382</v>
      </c>
      <c r="C224" s="4" t="str">
        <f>HYPERLINK("http://www.rncp.cncp.gouv.fr/grand-public/visualisationFiche?format=fr&amp;fiche=13134","13134")</f>
        <v>13134</v>
      </c>
      <c r="D224" s="4" t="str">
        <f>HYPERLINK("http://www.intercariforef.org/formations/certification-47699.html","47699")</f>
        <v>47699</v>
      </c>
      <c r="E224" s="5">
        <v>17536</v>
      </c>
      <c r="F224" s="5" t="s">
        <v>10</v>
      </c>
      <c r="G224" s="5" t="s">
        <v>11</v>
      </c>
      <c r="H224" s="3" t="s">
        <v>378</v>
      </c>
    </row>
    <row r="225" spans="1:8" ht="13.8" x14ac:dyDescent="0.25">
      <c r="A225" s="3" t="s">
        <v>8</v>
      </c>
      <c r="B225" s="3" t="s">
        <v>383</v>
      </c>
      <c r="C225" s="4" t="str">
        <f>HYPERLINK("http://www.rncp.cncp.gouv.fr/grand-public/visualisationFiche?format=fr&amp;fiche=16240","16240")</f>
        <v>16240</v>
      </c>
      <c r="D225" s="4" t="str">
        <f>HYPERLINK("http://www.intercariforef.org/formations/certification-56063.html","56063")</f>
        <v>56063</v>
      </c>
      <c r="E225" s="5">
        <v>11603</v>
      </c>
      <c r="F225" s="5" t="s">
        <v>10</v>
      </c>
      <c r="G225" s="5" t="s">
        <v>11</v>
      </c>
      <c r="H225" s="3" t="s">
        <v>131</v>
      </c>
    </row>
    <row r="226" spans="1:8" ht="13.8" x14ac:dyDescent="0.25">
      <c r="A226" s="3" t="s">
        <v>8</v>
      </c>
      <c r="B226" s="3" t="s">
        <v>384</v>
      </c>
      <c r="C226" s="5"/>
      <c r="D226" s="4" t="str">
        <f>HYPERLINK("http://www.intercariforef.org/formations/certification-58998.html","58998")</f>
        <v>58998</v>
      </c>
      <c r="E226" s="5">
        <v>12824</v>
      </c>
      <c r="F226" s="5" t="s">
        <v>10</v>
      </c>
      <c r="G226" s="5" t="s">
        <v>11</v>
      </c>
      <c r="H226" s="3" t="s">
        <v>385</v>
      </c>
    </row>
    <row r="227" spans="1:8" ht="27.6" x14ac:dyDescent="0.25">
      <c r="A227" s="3" t="s">
        <v>8</v>
      </c>
      <c r="B227" s="3" t="s">
        <v>386</v>
      </c>
      <c r="C227" s="4" t="str">
        <f>HYPERLINK("http://www.rncp.cncp.gouv.fr/grand-public/visualisationFiche?format=fr&amp;fiche=4184","4184")</f>
        <v>4184</v>
      </c>
      <c r="D227" s="4" t="str">
        <f>HYPERLINK("http://www.intercariforef.org/formations/certification-47643.html","47643")</f>
        <v>47643</v>
      </c>
      <c r="E227" s="5">
        <v>12888</v>
      </c>
      <c r="F227" s="5" t="s">
        <v>10</v>
      </c>
      <c r="G227" s="5" t="s">
        <v>11</v>
      </c>
      <c r="H227" s="3" t="s">
        <v>387</v>
      </c>
    </row>
    <row r="228" spans="1:8" ht="27.6" x14ac:dyDescent="0.25">
      <c r="A228" s="3" t="s">
        <v>8</v>
      </c>
      <c r="B228" s="3" t="s">
        <v>388</v>
      </c>
      <c r="C228" s="5"/>
      <c r="D228" s="4" t="str">
        <f>HYPERLINK("http://www.intercariforef.org/formations/certification-80069.html","80069")</f>
        <v>80069</v>
      </c>
      <c r="E228" s="5">
        <v>12889</v>
      </c>
      <c r="F228" s="5" t="s">
        <v>10</v>
      </c>
      <c r="G228" s="5" t="s">
        <v>11</v>
      </c>
      <c r="H228" s="3" t="s">
        <v>387</v>
      </c>
    </row>
    <row r="229" spans="1:8" ht="27.6" x14ac:dyDescent="0.25">
      <c r="A229" s="3" t="s">
        <v>8</v>
      </c>
      <c r="B229" s="3" t="s">
        <v>389</v>
      </c>
      <c r="C229" s="4" t="str">
        <f>HYPERLINK("http://www.rncp.cncp.gouv.fr/grand-public/visualisationFiche?format=fr&amp;fiche=4187","4187")</f>
        <v>4187</v>
      </c>
      <c r="D229" s="4" t="str">
        <f>HYPERLINK("http://www.intercariforef.org/formations/certification-47607.html","47607")</f>
        <v>47607</v>
      </c>
      <c r="E229" s="5">
        <v>12887</v>
      </c>
      <c r="F229" s="5" t="s">
        <v>10</v>
      </c>
      <c r="G229" s="5" t="s">
        <v>11</v>
      </c>
      <c r="H229" s="3" t="s">
        <v>387</v>
      </c>
    </row>
    <row r="230" spans="1:8" ht="27.6" x14ac:dyDescent="0.25">
      <c r="A230" s="3" t="s">
        <v>8</v>
      </c>
      <c r="B230" s="3" t="s">
        <v>390</v>
      </c>
      <c r="C230" s="4" t="str">
        <f>HYPERLINK("http://www.rncp.cncp.gouv.fr/grand-public/visualisationFiche?format=fr&amp;fiche=18757","18757")</f>
        <v>18757</v>
      </c>
      <c r="D230" s="4" t="str">
        <f>HYPERLINK("http://www.intercariforef.org/formations/certification-59802.html","59802")</f>
        <v>59802</v>
      </c>
      <c r="E230" s="5">
        <v>11534</v>
      </c>
      <c r="F230" s="5" t="s">
        <v>10</v>
      </c>
      <c r="G230" s="5" t="s">
        <v>11</v>
      </c>
      <c r="H230" s="3" t="s">
        <v>391</v>
      </c>
    </row>
    <row r="231" spans="1:8" ht="13.8" x14ac:dyDescent="0.25">
      <c r="A231" s="3" t="s">
        <v>8</v>
      </c>
      <c r="B231" s="3" t="s">
        <v>392</v>
      </c>
      <c r="C231" s="4" t="str">
        <f>HYPERLINK("http://www.rncp.cncp.gouv.fr/grand-public/visualisationFiche?format=fr&amp;fiche=1981","1981")</f>
        <v>1981</v>
      </c>
      <c r="D231" s="4" t="str">
        <f>HYPERLINK("http://www.intercariforef.org/formations/certification-53117.html","53117")</f>
        <v>53117</v>
      </c>
      <c r="E231" s="5">
        <v>145455</v>
      </c>
      <c r="F231" s="5" t="s">
        <v>10</v>
      </c>
      <c r="G231" s="5" t="s">
        <v>11</v>
      </c>
      <c r="H231" s="3" t="s">
        <v>393</v>
      </c>
    </row>
    <row r="232" spans="1:8" ht="27.6" x14ac:dyDescent="0.25">
      <c r="A232" s="3" t="s">
        <v>8</v>
      </c>
      <c r="B232" s="3" t="s">
        <v>394</v>
      </c>
      <c r="C232" s="4" t="str">
        <f>HYPERLINK("http://www.rncp.cncp.gouv.fr/grand-public/visualisationFiche?format=fr&amp;fiche=4616","4616")</f>
        <v>4616</v>
      </c>
      <c r="D232" s="4" t="str">
        <f>HYPERLINK("http://www.intercariforef.org/formations/certification-12962.html","12962")</f>
        <v>12962</v>
      </c>
      <c r="E232" s="5">
        <v>12428</v>
      </c>
      <c r="F232" s="5" t="s">
        <v>10</v>
      </c>
      <c r="G232" s="5" t="s">
        <v>11</v>
      </c>
      <c r="H232" s="3" t="s">
        <v>395</v>
      </c>
    </row>
    <row r="233" spans="1:8" ht="27.6" x14ac:dyDescent="0.25">
      <c r="A233" s="3" t="s">
        <v>8</v>
      </c>
      <c r="B233" s="3" t="s">
        <v>396</v>
      </c>
      <c r="C233" s="4" t="str">
        <f>HYPERLINK("http://www.rncp.cncp.gouv.fr/grand-public/visualisationFiche?format=fr&amp;fiche=4618","4618")</f>
        <v>4618</v>
      </c>
      <c r="D233" s="4" t="str">
        <f>HYPERLINK("http://www.intercariforef.org/formations/certification-47587.html","47587")</f>
        <v>47587</v>
      </c>
      <c r="E233" s="5">
        <v>12426</v>
      </c>
      <c r="F233" s="5" t="s">
        <v>10</v>
      </c>
      <c r="G233" s="5" t="s">
        <v>11</v>
      </c>
      <c r="H233" s="3" t="s">
        <v>395</v>
      </c>
    </row>
    <row r="234" spans="1:8" ht="27.6" x14ac:dyDescent="0.25">
      <c r="A234" s="3" t="s">
        <v>8</v>
      </c>
      <c r="B234" s="3" t="s">
        <v>397</v>
      </c>
      <c r="C234" s="4" t="str">
        <f>HYPERLINK("http://www.rncp.cncp.gouv.fr/grand-public/visualisationFiche?format=fr&amp;fiche=4619","4619")</f>
        <v>4619</v>
      </c>
      <c r="D234" s="4" t="str">
        <f>HYPERLINK("http://www.intercariforef.org/formations/certification-55056.html","55056")</f>
        <v>55056</v>
      </c>
      <c r="E234" s="5">
        <v>12427</v>
      </c>
      <c r="F234" s="5" t="s">
        <v>10</v>
      </c>
      <c r="G234" s="5" t="s">
        <v>11</v>
      </c>
      <c r="H234" s="3" t="s">
        <v>395</v>
      </c>
    </row>
    <row r="235" spans="1:8" ht="13.8" x14ac:dyDescent="0.25">
      <c r="A235" s="3" t="s">
        <v>8</v>
      </c>
      <c r="B235" s="3" t="s">
        <v>398</v>
      </c>
      <c r="C235" s="4" t="str">
        <f>HYPERLINK("http://www.rncp.cncp.gouv.fr/grand-public/visualisationFiche?format=fr&amp;fiche=4353","4353")</f>
        <v>4353</v>
      </c>
      <c r="D235" s="4" t="str">
        <f>HYPERLINK("http://www.intercariforef.org/formations/certification-47579.html","47579")</f>
        <v>47579</v>
      </c>
      <c r="E235" s="5">
        <v>14021</v>
      </c>
      <c r="F235" s="5" t="s">
        <v>10</v>
      </c>
      <c r="G235" s="5" t="s">
        <v>11</v>
      </c>
      <c r="H235" s="3" t="s">
        <v>399</v>
      </c>
    </row>
    <row r="236" spans="1:8" ht="27.6" x14ac:dyDescent="0.25">
      <c r="A236" s="3" t="s">
        <v>8</v>
      </c>
      <c r="B236" s="3" t="s">
        <v>400</v>
      </c>
      <c r="C236" s="4" t="str">
        <f>HYPERLINK("http://www.rncp.cncp.gouv.fr/grand-public/visualisationFiche?format=fr&amp;fiche=4346","4346")</f>
        <v>4346</v>
      </c>
      <c r="D236" s="4" t="str">
        <f>HYPERLINK("http://www.intercariforef.org/formations/certification-55060.html","55060")</f>
        <v>55060</v>
      </c>
      <c r="E236" s="5">
        <v>13812</v>
      </c>
      <c r="F236" s="5" t="s">
        <v>10</v>
      </c>
      <c r="G236" s="5" t="s">
        <v>11</v>
      </c>
      <c r="H236" s="3" t="s">
        <v>401</v>
      </c>
    </row>
    <row r="237" spans="1:8" ht="27.6" x14ac:dyDescent="0.25">
      <c r="A237" s="3" t="s">
        <v>8</v>
      </c>
      <c r="B237" s="3" t="s">
        <v>402</v>
      </c>
      <c r="C237" s="4" t="str">
        <f>HYPERLINK("http://www.rncp.cncp.gouv.fr/grand-public/visualisationFiche?format=fr&amp;fiche=4611","4611")</f>
        <v>4611</v>
      </c>
      <c r="D237" s="4" t="str">
        <f>HYPERLINK("http://www.intercariforef.org/formations/certification-59049.html","59049")</f>
        <v>59049</v>
      </c>
      <c r="E237" s="5">
        <v>12829</v>
      </c>
      <c r="F237" s="5" t="s">
        <v>10</v>
      </c>
      <c r="G237" s="5" t="s">
        <v>11</v>
      </c>
      <c r="H237" s="3" t="s">
        <v>403</v>
      </c>
    </row>
    <row r="238" spans="1:8" ht="27.6" x14ac:dyDescent="0.25">
      <c r="A238" s="3" t="s">
        <v>8</v>
      </c>
      <c r="B238" s="3" t="s">
        <v>404</v>
      </c>
      <c r="C238" s="4" t="str">
        <f>HYPERLINK("http://www.rncp.cncp.gouv.fr/grand-public/visualisationFiche?format=fr&amp;fiche=4354","4354")</f>
        <v>4354</v>
      </c>
      <c r="D238" s="4" t="str">
        <f>HYPERLINK("http://www.intercariforef.org/formations/certification-12989.html","12989")</f>
        <v>12989</v>
      </c>
      <c r="E238" s="5">
        <v>12840</v>
      </c>
      <c r="F238" s="5" t="s">
        <v>10</v>
      </c>
      <c r="G238" s="5" t="s">
        <v>11</v>
      </c>
      <c r="H238" s="3" t="s">
        <v>405</v>
      </c>
    </row>
    <row r="239" spans="1:8" ht="27.6" x14ac:dyDescent="0.25">
      <c r="A239" s="3" t="s">
        <v>8</v>
      </c>
      <c r="B239" s="3" t="s">
        <v>406</v>
      </c>
      <c r="C239" s="5"/>
      <c r="D239" s="4" t="str">
        <f>HYPERLINK("http://www.intercariforef.org/formations/certification-66196.html","66196")</f>
        <v>66196</v>
      </c>
      <c r="E239" s="5">
        <v>11618</v>
      </c>
      <c r="F239" s="5" t="s">
        <v>10</v>
      </c>
      <c r="G239" s="5" t="s">
        <v>11</v>
      </c>
      <c r="H239" s="3" t="s">
        <v>407</v>
      </c>
    </row>
    <row r="240" spans="1:8" ht="27.6" x14ac:dyDescent="0.25">
      <c r="A240" s="3" t="s">
        <v>8</v>
      </c>
      <c r="B240" s="3" t="s">
        <v>408</v>
      </c>
      <c r="C240" s="4" t="str">
        <f>HYPERLINK("http://www.rncp.cncp.gouv.fr/grand-public/visualisationFiche?format=fr&amp;fiche=22962","22962")</f>
        <v>22962</v>
      </c>
      <c r="D240" s="4" t="str">
        <f>HYPERLINK("http://www.intercariforef.org/formations/certification-74677.html","74677")</f>
        <v>74677</v>
      </c>
      <c r="E240" s="5">
        <v>12813</v>
      </c>
      <c r="F240" s="5" t="s">
        <v>10</v>
      </c>
      <c r="G240" s="5" t="s">
        <v>11</v>
      </c>
      <c r="H240" s="3" t="s">
        <v>407</v>
      </c>
    </row>
    <row r="241" spans="1:8" ht="27.6" x14ac:dyDescent="0.25">
      <c r="A241" s="3" t="s">
        <v>8</v>
      </c>
      <c r="B241" s="3" t="s">
        <v>409</v>
      </c>
      <c r="C241" s="4" t="str">
        <f>HYPERLINK("http://www.rncp.cncp.gouv.fr/grand-public/visualisationFiche?format=fr&amp;fiche=13444","13444")</f>
        <v>13444</v>
      </c>
      <c r="D241" s="4" t="str">
        <f>HYPERLINK("http://www.intercariforef.org/formations/certification-58992.html","58992")</f>
        <v>58992</v>
      </c>
      <c r="E241" s="5">
        <v>12817</v>
      </c>
      <c r="F241" s="5" t="s">
        <v>10</v>
      </c>
      <c r="G241" s="5" t="s">
        <v>11</v>
      </c>
      <c r="H241" s="3" t="s">
        <v>410</v>
      </c>
    </row>
    <row r="242" spans="1:8" ht="27.6" x14ac:dyDescent="0.25">
      <c r="A242" s="3" t="s">
        <v>8</v>
      </c>
      <c r="B242" s="3" t="s">
        <v>411</v>
      </c>
      <c r="C242" s="4" t="str">
        <f>HYPERLINK("http://www.rncp.cncp.gouv.fr/grand-public/visualisationFiche?format=fr&amp;fiche=18371","18371")</f>
        <v>18371</v>
      </c>
      <c r="D242" s="4" t="str">
        <f>HYPERLINK("http://www.intercariforef.org/formations/certification-52904.html","52904")</f>
        <v>52904</v>
      </c>
      <c r="E242" s="5">
        <v>12816</v>
      </c>
      <c r="F242" s="5" t="s">
        <v>10</v>
      </c>
      <c r="G242" s="5" t="s">
        <v>11</v>
      </c>
      <c r="H242" s="3" t="s">
        <v>412</v>
      </c>
    </row>
    <row r="243" spans="1:8" ht="27.6" x14ac:dyDescent="0.25">
      <c r="A243" s="3" t="s">
        <v>8</v>
      </c>
      <c r="B243" s="3" t="s">
        <v>413</v>
      </c>
      <c r="C243" s="4" t="str">
        <f>HYPERLINK("http://www.rncp.cncp.gouv.fr/grand-public/visualisationFiche?format=fr&amp;fiche=17849","17849")</f>
        <v>17849</v>
      </c>
      <c r="D243" s="4" t="str">
        <f>HYPERLINK("http://www.intercariforef.org/formations/certification-13017.html","13017")</f>
        <v>13017</v>
      </c>
      <c r="E243" s="5">
        <v>12815</v>
      </c>
      <c r="F243" s="5" t="s">
        <v>10</v>
      </c>
      <c r="G243" s="5" t="s">
        <v>11</v>
      </c>
      <c r="H243" s="3" t="s">
        <v>414</v>
      </c>
    </row>
    <row r="244" spans="1:8" ht="27.6" x14ac:dyDescent="0.25">
      <c r="A244" s="3" t="s">
        <v>8</v>
      </c>
      <c r="B244" s="3" t="s">
        <v>415</v>
      </c>
      <c r="C244" s="4" t="str">
        <f>HYPERLINK("http://www.rncp.cncp.gouv.fr/grand-public/visualisationFiche?format=fr&amp;fiche=4348","4348")</f>
        <v>4348</v>
      </c>
      <c r="D244" s="4" t="str">
        <f>HYPERLINK("http://www.intercariforef.org/formations/certification-13019.html","13019")</f>
        <v>13019</v>
      </c>
      <c r="E244" s="5">
        <v>12751</v>
      </c>
      <c r="F244" s="5" t="s">
        <v>10</v>
      </c>
      <c r="G244" s="5" t="s">
        <v>11</v>
      </c>
      <c r="H244" s="3" t="s">
        <v>416</v>
      </c>
    </row>
    <row r="245" spans="1:8" ht="13.8" x14ac:dyDescent="0.25">
      <c r="A245" s="3" t="s">
        <v>8</v>
      </c>
      <c r="B245" s="3" t="s">
        <v>417</v>
      </c>
      <c r="C245" s="4" t="str">
        <f>HYPERLINK("http://www.rncp.cncp.gouv.fr/grand-public/visualisationFiche?format=fr&amp;fiche=18390","18390")</f>
        <v>18390</v>
      </c>
      <c r="D245" s="4" t="str">
        <f>HYPERLINK("http://www.intercariforef.org/formations/certification-13021.html","13021")</f>
        <v>13021</v>
      </c>
      <c r="E245" s="5">
        <v>12773</v>
      </c>
      <c r="F245" s="5" t="s">
        <v>10</v>
      </c>
      <c r="G245" s="5" t="s">
        <v>11</v>
      </c>
      <c r="H245" s="3" t="s">
        <v>418</v>
      </c>
    </row>
    <row r="246" spans="1:8" ht="27.6" x14ac:dyDescent="0.25">
      <c r="A246" s="3" t="s">
        <v>8</v>
      </c>
      <c r="B246" s="3" t="s">
        <v>419</v>
      </c>
      <c r="C246" s="4" t="str">
        <f>HYPERLINK("http://www.rncp.cncp.gouv.fr/grand-public/visualisationFiche?format=fr&amp;fiche=23242","23242")</f>
        <v>23242</v>
      </c>
      <c r="D246" s="4" t="str">
        <f>HYPERLINK("http://www.intercariforef.org/formations/certification-58997.html","58997")</f>
        <v>58997</v>
      </c>
      <c r="E246" s="5">
        <v>13846</v>
      </c>
      <c r="F246" s="5" t="s">
        <v>10</v>
      </c>
      <c r="G246" s="5" t="s">
        <v>11</v>
      </c>
      <c r="H246" s="3" t="s">
        <v>420</v>
      </c>
    </row>
    <row r="247" spans="1:8" ht="13.8" x14ac:dyDescent="0.25">
      <c r="A247" s="3" t="s">
        <v>8</v>
      </c>
      <c r="B247" s="3" t="s">
        <v>421</v>
      </c>
      <c r="C247" s="4" t="str">
        <f>HYPERLINK("http://www.rncp.cncp.gouv.fr/grand-public/visualisationFiche?format=fr&amp;fiche=4108","4108")</f>
        <v>4108</v>
      </c>
      <c r="D247" s="4" t="str">
        <f>HYPERLINK("http://www.intercariforef.org/formations/certification-59055.html","59055")</f>
        <v>59055</v>
      </c>
      <c r="E247" s="5">
        <v>12374</v>
      </c>
      <c r="F247" s="5" t="s">
        <v>10</v>
      </c>
      <c r="G247" s="5" t="s">
        <v>11</v>
      </c>
      <c r="H247" s="3" t="s">
        <v>422</v>
      </c>
    </row>
    <row r="248" spans="1:8" ht="27.6" x14ac:dyDescent="0.25">
      <c r="A248" s="3" t="s">
        <v>8</v>
      </c>
      <c r="B248" s="3" t="s">
        <v>423</v>
      </c>
      <c r="C248" s="4" t="str">
        <f>HYPERLINK("http://www.rncp.cncp.gouv.fr/grand-public/visualisationFiche?format=fr&amp;fiche=9941","9941")</f>
        <v>9941</v>
      </c>
      <c r="D248" s="4" t="str">
        <f>HYPERLINK("http://www.intercariforef.org/formations/certification-12929.html","12929")</f>
        <v>12929</v>
      </c>
      <c r="E248" s="5">
        <v>12423</v>
      </c>
      <c r="F248" s="5" t="s">
        <v>10</v>
      </c>
      <c r="G248" s="5" t="s">
        <v>11</v>
      </c>
      <c r="H248" s="3" t="s">
        <v>424</v>
      </c>
    </row>
    <row r="249" spans="1:8" ht="27.6" x14ac:dyDescent="0.25">
      <c r="A249" s="3" t="s">
        <v>8</v>
      </c>
      <c r="B249" s="3" t="s">
        <v>425</v>
      </c>
      <c r="C249" s="5"/>
      <c r="D249" s="4" t="str">
        <f>HYPERLINK("http://www.intercariforef.org/formations/certification-82517.html","82517")</f>
        <v>82517</v>
      </c>
      <c r="E249" s="5">
        <v>13956</v>
      </c>
      <c r="F249" s="5" t="s">
        <v>10</v>
      </c>
      <c r="G249" s="5" t="s">
        <v>11</v>
      </c>
      <c r="H249" s="3" t="s">
        <v>426</v>
      </c>
    </row>
    <row r="250" spans="1:8" ht="27.6" x14ac:dyDescent="0.25">
      <c r="A250" s="3" t="s">
        <v>8</v>
      </c>
      <c r="B250" s="3" t="s">
        <v>427</v>
      </c>
      <c r="C250" s="4" t="str">
        <f>HYPERLINK("http://www.rncp.cncp.gouv.fr/grand-public/visualisationFiche?format=fr&amp;fiche=11883","11883")</f>
        <v>11883</v>
      </c>
      <c r="D250" s="4" t="str">
        <f>HYPERLINK("http://www.intercariforef.org/formations/certification-74661.html","74661")</f>
        <v>74661</v>
      </c>
      <c r="E250" s="5">
        <v>145456</v>
      </c>
      <c r="F250" s="5" t="s">
        <v>10</v>
      </c>
      <c r="G250" s="5" t="s">
        <v>11</v>
      </c>
      <c r="H250" s="3" t="s">
        <v>428</v>
      </c>
    </row>
    <row r="251" spans="1:8" ht="27.6" x14ac:dyDescent="0.25">
      <c r="A251" s="3" t="s">
        <v>8</v>
      </c>
      <c r="B251" s="3" t="s">
        <v>429</v>
      </c>
      <c r="C251" s="4" t="str">
        <f>HYPERLINK("http://www.rncp.cncp.gouv.fr/grand-public/visualisationFiche?format=fr&amp;fiche=9888","9888")</f>
        <v>9888</v>
      </c>
      <c r="D251" s="4" t="str">
        <f>HYPERLINK("http://www.intercariforef.org/formations/certification-74887.html","74887")</f>
        <v>74887</v>
      </c>
      <c r="E251" s="5">
        <v>12069</v>
      </c>
      <c r="F251" s="5" t="s">
        <v>10</v>
      </c>
      <c r="G251" s="5" t="s">
        <v>11</v>
      </c>
      <c r="H251" s="3" t="s">
        <v>430</v>
      </c>
    </row>
    <row r="252" spans="1:8" ht="27.6" x14ac:dyDescent="0.25">
      <c r="A252" s="3" t="s">
        <v>8</v>
      </c>
      <c r="B252" s="3" t="s">
        <v>431</v>
      </c>
      <c r="C252" s="4" t="str">
        <f>HYPERLINK("http://www.rncp.cncp.gouv.fr/grand-public/visualisationFiche?format=fr&amp;fiche=17880","17880")</f>
        <v>17880</v>
      </c>
      <c r="D252" s="4" t="str">
        <f>HYPERLINK("http://www.intercariforef.org/formations/certification-13080.html","13080")</f>
        <v>13080</v>
      </c>
      <c r="E252" s="5">
        <v>13525</v>
      </c>
      <c r="F252" s="5" t="s">
        <v>10</v>
      </c>
      <c r="G252" s="5" t="s">
        <v>11</v>
      </c>
      <c r="H252" s="3" t="s">
        <v>432</v>
      </c>
    </row>
    <row r="253" spans="1:8" ht="27.6" x14ac:dyDescent="0.25">
      <c r="A253" s="3" t="s">
        <v>8</v>
      </c>
      <c r="B253" s="3" t="s">
        <v>433</v>
      </c>
      <c r="C253" s="4" t="str">
        <f>HYPERLINK("http://www.rncp.cncp.gouv.fr/grand-public/visualisationFiche?format=fr&amp;fiche=17742","17742")</f>
        <v>17742</v>
      </c>
      <c r="D253" s="4" t="str">
        <f>HYPERLINK("http://www.intercariforef.org/formations/certification-13081.html","13081")</f>
        <v>13081</v>
      </c>
      <c r="E253" s="5">
        <v>13526</v>
      </c>
      <c r="F253" s="5" t="s">
        <v>10</v>
      </c>
      <c r="G253" s="5" t="s">
        <v>11</v>
      </c>
      <c r="H253" s="3" t="s">
        <v>432</v>
      </c>
    </row>
    <row r="254" spans="1:8" ht="27.6" x14ac:dyDescent="0.25">
      <c r="A254" s="3" t="s">
        <v>8</v>
      </c>
      <c r="B254" s="3" t="s">
        <v>434</v>
      </c>
      <c r="C254" s="4" t="str">
        <f>HYPERLINK("http://www.rncp.cncp.gouv.fr/grand-public/visualisationFiche?format=fr&amp;fiche=17881","17881")</f>
        <v>17881</v>
      </c>
      <c r="D254" s="4" t="str">
        <f>HYPERLINK("http://www.intercariforef.org/formations/certification-13082.html","13082")</f>
        <v>13082</v>
      </c>
      <c r="E254" s="5">
        <v>12928</v>
      </c>
      <c r="F254" s="5" t="s">
        <v>10</v>
      </c>
      <c r="G254" s="5" t="s">
        <v>11</v>
      </c>
      <c r="H254" s="3" t="s">
        <v>432</v>
      </c>
    </row>
    <row r="255" spans="1:8" ht="27.6" x14ac:dyDescent="0.25">
      <c r="A255" s="3" t="s">
        <v>8</v>
      </c>
      <c r="B255" s="3" t="s">
        <v>435</v>
      </c>
      <c r="C255" s="4" t="str">
        <f>HYPERLINK("http://www.rncp.cncp.gouv.fr/grand-public/visualisationFiche?format=fr&amp;fiche=17886","17886")</f>
        <v>17886</v>
      </c>
      <c r="D255" s="4" t="str">
        <f>HYPERLINK("http://www.intercariforef.org/formations/certification-77693.html","77693")</f>
        <v>77693</v>
      </c>
      <c r="E255" s="5">
        <v>12932</v>
      </c>
      <c r="F255" s="5" t="s">
        <v>10</v>
      </c>
      <c r="G255" s="5" t="s">
        <v>11</v>
      </c>
      <c r="H255" s="3" t="s">
        <v>436</v>
      </c>
    </row>
    <row r="256" spans="1:8" ht="27.6" x14ac:dyDescent="0.25">
      <c r="A256" s="3" t="s">
        <v>8</v>
      </c>
      <c r="B256" s="3" t="s">
        <v>437</v>
      </c>
      <c r="C256" s="4" t="str">
        <f>HYPERLINK("http://www.rncp.cncp.gouv.fr/grand-public/visualisationFiche?format=fr&amp;fiche=17826","17826")</f>
        <v>17826</v>
      </c>
      <c r="D256" s="4" t="str">
        <f>HYPERLINK("http://www.intercariforef.org/formations/certification-13083.html","13083")</f>
        <v>13083</v>
      </c>
      <c r="E256" s="5">
        <v>9623</v>
      </c>
      <c r="F256" s="5" t="s">
        <v>10</v>
      </c>
      <c r="G256" s="5" t="s">
        <v>11</v>
      </c>
      <c r="H256" s="3" t="s">
        <v>432</v>
      </c>
    </row>
    <row r="257" spans="1:8" ht="27.6" x14ac:dyDescent="0.25">
      <c r="A257" s="3" t="s">
        <v>8</v>
      </c>
      <c r="B257" s="3" t="s">
        <v>438</v>
      </c>
      <c r="C257" s="4" t="str">
        <f>HYPERLINK("http://www.rncp.cncp.gouv.fr/grand-public/visualisationFiche?format=fr&amp;fiche=17882","17882")</f>
        <v>17882</v>
      </c>
      <c r="D257" s="4" t="str">
        <f>HYPERLINK("http://www.intercariforef.org/formations/certification-13084.html","13084")</f>
        <v>13084</v>
      </c>
      <c r="E257" s="5">
        <v>13527</v>
      </c>
      <c r="F257" s="5" t="s">
        <v>10</v>
      </c>
      <c r="G257" s="5" t="s">
        <v>11</v>
      </c>
      <c r="H257" s="3" t="s">
        <v>432</v>
      </c>
    </row>
    <row r="258" spans="1:8" ht="27.6" x14ac:dyDescent="0.25">
      <c r="A258" s="3" t="s">
        <v>8</v>
      </c>
      <c r="B258" s="3" t="s">
        <v>439</v>
      </c>
      <c r="C258" s="4" t="str">
        <f>HYPERLINK("http://www.rncp.cncp.gouv.fr/grand-public/visualisationFiche?format=fr&amp;fiche=17892","17892")</f>
        <v>17892</v>
      </c>
      <c r="D258" s="4" t="str">
        <f>HYPERLINK("http://www.intercariforef.org/formations/certification-13086.html","13086")</f>
        <v>13086</v>
      </c>
      <c r="E258" s="5">
        <v>12929</v>
      </c>
      <c r="F258" s="5" t="s">
        <v>10</v>
      </c>
      <c r="G258" s="5" t="s">
        <v>11</v>
      </c>
      <c r="H258" s="3" t="s">
        <v>432</v>
      </c>
    </row>
    <row r="259" spans="1:8" ht="27.6" x14ac:dyDescent="0.25">
      <c r="A259" s="3" t="s">
        <v>8</v>
      </c>
      <c r="B259" s="3" t="s">
        <v>440</v>
      </c>
      <c r="C259" s="4" t="str">
        <f>HYPERLINK("http://www.rncp.cncp.gouv.fr/grand-public/visualisationFiche?format=fr&amp;fiche=17893","17893")</f>
        <v>17893</v>
      </c>
      <c r="D259" s="4" t="str">
        <f>HYPERLINK("http://www.intercariforef.org/formations/certification-76850.html","76850")</f>
        <v>76850</v>
      </c>
      <c r="E259" s="5">
        <v>12931</v>
      </c>
      <c r="F259" s="5" t="s">
        <v>10</v>
      </c>
      <c r="G259" s="5" t="s">
        <v>11</v>
      </c>
      <c r="H259" s="3" t="s">
        <v>436</v>
      </c>
    </row>
    <row r="260" spans="1:8" ht="27.6" x14ac:dyDescent="0.25">
      <c r="A260" s="3" t="s">
        <v>8</v>
      </c>
      <c r="B260" s="3" t="s">
        <v>441</v>
      </c>
      <c r="C260" s="4" t="str">
        <f>HYPERLINK("http://www.rncp.cncp.gouv.fr/grand-public/visualisationFiche?format=fr&amp;fiche=17879","17879")</f>
        <v>17879</v>
      </c>
      <c r="D260" s="4" t="str">
        <f>HYPERLINK("http://www.intercariforef.org/formations/certification-13087.html","13087")</f>
        <v>13087</v>
      </c>
      <c r="E260" s="5">
        <v>12930</v>
      </c>
      <c r="F260" s="5" t="s">
        <v>10</v>
      </c>
      <c r="G260" s="5" t="s">
        <v>11</v>
      </c>
      <c r="H260" s="3" t="s">
        <v>432</v>
      </c>
    </row>
    <row r="261" spans="1:8" ht="27.6" x14ac:dyDescent="0.25">
      <c r="A261" s="3" t="s">
        <v>8</v>
      </c>
      <c r="B261" s="3" t="s">
        <v>442</v>
      </c>
      <c r="C261" s="4" t="str">
        <f>HYPERLINK("http://www.rncp.cncp.gouv.fr/grand-public/visualisationFiche?format=fr&amp;fiche=17825","17825")</f>
        <v>17825</v>
      </c>
      <c r="D261" s="4" t="str">
        <f>HYPERLINK("http://www.intercariforef.org/formations/certification-13088.html","13088")</f>
        <v>13088</v>
      </c>
      <c r="E261" s="5">
        <v>13528</v>
      </c>
      <c r="F261" s="5" t="s">
        <v>10</v>
      </c>
      <c r="G261" s="5" t="s">
        <v>11</v>
      </c>
      <c r="H261" s="3" t="s">
        <v>432</v>
      </c>
    </row>
    <row r="262" spans="1:8" ht="27.6" x14ac:dyDescent="0.25">
      <c r="A262" s="3" t="s">
        <v>8</v>
      </c>
      <c r="B262" s="3" t="s">
        <v>443</v>
      </c>
      <c r="C262" s="4" t="str">
        <f>HYPERLINK("http://www.rncp.cncp.gouv.fr/grand-public/visualisationFiche?format=fr&amp;fiche=4191","4191")</f>
        <v>4191</v>
      </c>
      <c r="D262" s="4" t="str">
        <f>HYPERLINK("http://www.intercariforef.org/formations/certification-13090.html","13090")</f>
        <v>13090</v>
      </c>
      <c r="E262" s="5">
        <v>13874</v>
      </c>
      <c r="F262" s="5" t="s">
        <v>10</v>
      </c>
      <c r="G262" s="5" t="s">
        <v>11</v>
      </c>
      <c r="H262" s="3" t="s">
        <v>444</v>
      </c>
    </row>
    <row r="263" spans="1:8" ht="27.6" x14ac:dyDescent="0.25">
      <c r="A263" s="3" t="s">
        <v>8</v>
      </c>
      <c r="B263" s="3" t="s">
        <v>445</v>
      </c>
      <c r="C263" s="4" t="str">
        <f>HYPERLINK("http://www.rncp.cncp.gouv.fr/grand-public/visualisationFiche?format=fr&amp;fiche=4193","4193")</f>
        <v>4193</v>
      </c>
      <c r="D263" s="4" t="str">
        <f>HYPERLINK("http://www.intercariforef.org/formations/certification-47741.html","47741")</f>
        <v>47741</v>
      </c>
      <c r="E263" s="5">
        <v>13876</v>
      </c>
      <c r="F263" s="5" t="s">
        <v>10</v>
      </c>
      <c r="G263" s="5" t="s">
        <v>11</v>
      </c>
      <c r="H263" s="3" t="s">
        <v>444</v>
      </c>
    </row>
    <row r="264" spans="1:8" ht="27.6" x14ac:dyDescent="0.25">
      <c r="A264" s="3" t="s">
        <v>8</v>
      </c>
      <c r="B264" s="3" t="s">
        <v>446</v>
      </c>
      <c r="C264" s="4" t="str">
        <f>HYPERLINK("http://www.rncp.cncp.gouv.fr/grand-public/visualisationFiche?format=fr&amp;fiche=4192","4192")</f>
        <v>4192</v>
      </c>
      <c r="D264" s="4" t="str">
        <f>HYPERLINK("http://www.intercariforef.org/formations/certification-47744.html","47744")</f>
        <v>47744</v>
      </c>
      <c r="E264" s="5">
        <v>13877</v>
      </c>
      <c r="F264" s="5" t="s">
        <v>10</v>
      </c>
      <c r="G264" s="5" t="s">
        <v>11</v>
      </c>
      <c r="H264" s="3" t="s">
        <v>444</v>
      </c>
    </row>
    <row r="265" spans="1:8" ht="27.6" x14ac:dyDescent="0.25">
      <c r="A265" s="3" t="s">
        <v>8</v>
      </c>
      <c r="B265" s="3" t="s">
        <v>447</v>
      </c>
      <c r="C265" s="4" t="str">
        <f>HYPERLINK("http://www.rncp.cncp.gouv.fr/grand-public/visualisationFiche?format=fr&amp;fiche=4189","4189")</f>
        <v>4189</v>
      </c>
      <c r="D265" s="4" t="str">
        <f>HYPERLINK("http://www.intercariforef.org/formations/certification-47551.html","47551")</f>
        <v>47551</v>
      </c>
      <c r="E265" s="5">
        <v>13875</v>
      </c>
      <c r="F265" s="5" t="s">
        <v>10</v>
      </c>
      <c r="G265" s="5" t="s">
        <v>11</v>
      </c>
      <c r="H265" s="3" t="s">
        <v>444</v>
      </c>
    </row>
    <row r="266" spans="1:8" ht="27.6" x14ac:dyDescent="0.25">
      <c r="A266" s="3" t="s">
        <v>8</v>
      </c>
      <c r="B266" s="3" t="s">
        <v>448</v>
      </c>
      <c r="C266" s="4" t="str">
        <f>HYPERLINK("http://www.rncp.cncp.gouv.fr/grand-public/visualisationFiche?format=fr&amp;fiche=4190","4190")</f>
        <v>4190</v>
      </c>
      <c r="D266" s="4" t="str">
        <f>HYPERLINK("http://www.intercariforef.org/formations/certification-76982.html","76982")</f>
        <v>76982</v>
      </c>
      <c r="E266" s="5">
        <v>13878</v>
      </c>
      <c r="F266" s="5" t="s">
        <v>10</v>
      </c>
      <c r="G266" s="5" t="s">
        <v>11</v>
      </c>
      <c r="H266" s="3" t="s">
        <v>444</v>
      </c>
    </row>
    <row r="267" spans="1:8" ht="27.6" x14ac:dyDescent="0.25">
      <c r="A267" s="3" t="s">
        <v>8</v>
      </c>
      <c r="B267" s="3" t="s">
        <v>449</v>
      </c>
      <c r="C267" s="4" t="str">
        <f>HYPERLINK("http://www.rncp.cncp.gouv.fr/grand-public/visualisationFiche?format=fr&amp;fiche=15661","15661")</f>
        <v>15661</v>
      </c>
      <c r="D267" s="4" t="str">
        <f>HYPERLINK("http://www.intercariforef.org/formations/certification-47701.html","47701")</f>
        <v>47701</v>
      </c>
      <c r="E267" s="5">
        <v>11851</v>
      </c>
      <c r="F267" s="5" t="s">
        <v>10</v>
      </c>
      <c r="G267" s="5" t="s">
        <v>11</v>
      </c>
      <c r="H267" s="3" t="s">
        <v>450</v>
      </c>
    </row>
    <row r="268" spans="1:8" ht="27.6" x14ac:dyDescent="0.25">
      <c r="A268" s="3" t="s">
        <v>8</v>
      </c>
      <c r="B268" s="3" t="s">
        <v>451</v>
      </c>
      <c r="C268" s="4" t="str">
        <f>HYPERLINK("http://www.rncp.cncp.gouv.fr/grand-public/visualisationFiche?format=fr&amp;fiche=16730","16730")</f>
        <v>16730</v>
      </c>
      <c r="D268" s="4" t="str">
        <f>HYPERLINK("http://www.intercariforef.org/formations/certification-84208.html","84208")</f>
        <v>84208</v>
      </c>
      <c r="E268" s="5">
        <v>146873</v>
      </c>
      <c r="F268" s="5" t="s">
        <v>10</v>
      </c>
      <c r="G268" s="5" t="s">
        <v>11</v>
      </c>
      <c r="H268" s="3" t="s">
        <v>450</v>
      </c>
    </row>
    <row r="269" spans="1:8" ht="27.6" x14ac:dyDescent="0.25">
      <c r="A269" s="3" t="s">
        <v>8</v>
      </c>
      <c r="B269" s="3" t="s">
        <v>452</v>
      </c>
      <c r="C269" s="4" t="str">
        <f>HYPERLINK("http://www.rncp.cncp.gouv.fr/grand-public/visualisationFiche?format=fr&amp;fiche=15667","15667")</f>
        <v>15667</v>
      </c>
      <c r="D269" s="4" t="str">
        <f>HYPERLINK("http://www.intercariforef.org/formations/certification-13101.html","13101")</f>
        <v>13101</v>
      </c>
      <c r="E269" s="5">
        <v>13531</v>
      </c>
      <c r="F269" s="5" t="s">
        <v>10</v>
      </c>
      <c r="G269" s="5" t="s">
        <v>11</v>
      </c>
      <c r="H269" s="3" t="s">
        <v>450</v>
      </c>
    </row>
    <row r="270" spans="1:8" ht="27.6" x14ac:dyDescent="0.25">
      <c r="A270" s="3" t="s">
        <v>8</v>
      </c>
      <c r="B270" s="3" t="s">
        <v>453</v>
      </c>
      <c r="C270" s="5"/>
      <c r="D270" s="4" t="str">
        <f>HYPERLINK("http://www.intercariforef.org/formations/certification-47507.html","47507")</f>
        <v>47507</v>
      </c>
      <c r="E270" s="5">
        <v>146874</v>
      </c>
      <c r="F270" s="5" t="s">
        <v>10</v>
      </c>
      <c r="G270" s="5" t="s">
        <v>11</v>
      </c>
      <c r="H270" s="3" t="s">
        <v>454</v>
      </c>
    </row>
    <row r="271" spans="1:8" ht="27.6" x14ac:dyDescent="0.25">
      <c r="A271" s="3" t="s">
        <v>8</v>
      </c>
      <c r="B271" s="3" t="s">
        <v>455</v>
      </c>
      <c r="C271" s="4" t="str">
        <f>HYPERLINK("http://www.rncp.cncp.gouv.fr/grand-public/visualisationFiche?format=fr&amp;fiche=4344","4344")</f>
        <v>4344</v>
      </c>
      <c r="D271" s="4" t="str">
        <f>HYPERLINK("http://www.intercariforef.org/formations/certification-47751.html","47751")</f>
        <v>47751</v>
      </c>
      <c r="E271" s="5">
        <v>13894</v>
      </c>
      <c r="F271" s="5" t="s">
        <v>10</v>
      </c>
      <c r="G271" s="5" t="s">
        <v>11</v>
      </c>
      <c r="H271" s="3" t="s">
        <v>456</v>
      </c>
    </row>
    <row r="272" spans="1:8" ht="27.6" x14ac:dyDescent="0.25">
      <c r="A272" s="3" t="s">
        <v>8</v>
      </c>
      <c r="B272" s="3" t="s">
        <v>457</v>
      </c>
      <c r="C272" s="4" t="str">
        <f>HYPERLINK("http://www.rncp.cncp.gouv.fr/grand-public/visualisationFiche?format=fr&amp;fiche=4211","4211")</f>
        <v>4211</v>
      </c>
      <c r="D272" s="4" t="str">
        <f>HYPERLINK("http://www.intercariforef.org/formations/certification-47650.html","47650")</f>
        <v>47650</v>
      </c>
      <c r="E272" s="5">
        <v>13892</v>
      </c>
      <c r="F272" s="5" t="s">
        <v>10</v>
      </c>
      <c r="G272" s="5" t="s">
        <v>11</v>
      </c>
      <c r="H272" s="3" t="s">
        <v>456</v>
      </c>
    </row>
    <row r="273" spans="1:8" ht="27.6" x14ac:dyDescent="0.25">
      <c r="A273" s="3" t="s">
        <v>8</v>
      </c>
      <c r="B273" s="3" t="s">
        <v>458</v>
      </c>
      <c r="C273" s="4" t="str">
        <f>HYPERLINK("http://www.rncp.cncp.gouv.fr/grand-public/visualisationFiche?format=fr&amp;fiche=4207","4207")</f>
        <v>4207</v>
      </c>
      <c r="D273" s="4" t="str">
        <f>HYPERLINK("http://www.intercariforef.org/formations/certification-55042.html","55042")</f>
        <v>55042</v>
      </c>
      <c r="E273" s="5">
        <v>13898</v>
      </c>
      <c r="F273" s="5" t="s">
        <v>10</v>
      </c>
      <c r="G273" s="5" t="s">
        <v>11</v>
      </c>
      <c r="H273" s="3" t="s">
        <v>456</v>
      </c>
    </row>
    <row r="274" spans="1:8" ht="27.6" x14ac:dyDescent="0.25">
      <c r="A274" s="3" t="s">
        <v>8</v>
      </c>
      <c r="B274" s="3" t="s">
        <v>459</v>
      </c>
      <c r="C274" s="4" t="str">
        <f>HYPERLINK("http://www.rncp.cncp.gouv.fr/grand-public/visualisationFiche?format=fr&amp;fiche=13113","13113")</f>
        <v>13113</v>
      </c>
      <c r="D274" s="4" t="str">
        <f>HYPERLINK("http://www.intercariforef.org/formations/certification-47753.html","47753")</f>
        <v>47753</v>
      </c>
      <c r="E274" s="5">
        <v>13896</v>
      </c>
      <c r="F274" s="5" t="s">
        <v>10</v>
      </c>
      <c r="G274" s="5" t="s">
        <v>11</v>
      </c>
      <c r="H274" s="3" t="s">
        <v>456</v>
      </c>
    </row>
    <row r="275" spans="1:8" ht="27.6" x14ac:dyDescent="0.25">
      <c r="A275" s="3" t="s">
        <v>8</v>
      </c>
      <c r="B275" s="3" t="s">
        <v>460</v>
      </c>
      <c r="C275" s="4" t="str">
        <f>HYPERLINK("http://www.rncp.cncp.gouv.fr/grand-public/visualisationFiche?format=fr&amp;fiche=4213","4213")</f>
        <v>4213</v>
      </c>
      <c r="D275" s="4" t="str">
        <f>HYPERLINK("http://www.intercariforef.org/formations/certification-47550.html","47550")</f>
        <v>47550</v>
      </c>
      <c r="E275" s="5">
        <v>13891</v>
      </c>
      <c r="F275" s="5" t="s">
        <v>10</v>
      </c>
      <c r="G275" s="5" t="s">
        <v>11</v>
      </c>
      <c r="H275" s="3" t="s">
        <v>456</v>
      </c>
    </row>
    <row r="276" spans="1:8" ht="27.6" x14ac:dyDescent="0.25">
      <c r="A276" s="3" t="s">
        <v>8</v>
      </c>
      <c r="B276" s="3" t="s">
        <v>461</v>
      </c>
      <c r="C276" s="4" t="str">
        <f>HYPERLINK("http://www.rncp.cncp.gouv.fr/grand-public/visualisationFiche?format=fr&amp;fiche=4212","4212")</f>
        <v>4212</v>
      </c>
      <c r="D276" s="4" t="str">
        <f>HYPERLINK("http://www.intercariforef.org/formations/certification-47752.html","47752")</f>
        <v>47752</v>
      </c>
      <c r="E276" s="5">
        <v>13895</v>
      </c>
      <c r="F276" s="5" t="s">
        <v>10</v>
      </c>
      <c r="G276" s="5" t="s">
        <v>11</v>
      </c>
      <c r="H276" s="3" t="s">
        <v>456</v>
      </c>
    </row>
    <row r="277" spans="1:8" ht="27.6" x14ac:dyDescent="0.25">
      <c r="A277" s="3" t="s">
        <v>8</v>
      </c>
      <c r="B277" s="3" t="s">
        <v>462</v>
      </c>
      <c r="C277" s="4" t="str">
        <f>HYPERLINK("http://www.rncp.cncp.gouv.fr/grand-public/visualisationFiche?format=fr&amp;fiche=4206","4206")</f>
        <v>4206</v>
      </c>
      <c r="D277" s="4" t="str">
        <f>HYPERLINK("http://www.intercariforef.org/formations/certification-47667.html","47667")</f>
        <v>47667</v>
      </c>
      <c r="E277" s="5">
        <v>13893</v>
      </c>
      <c r="F277" s="5" t="s">
        <v>10</v>
      </c>
      <c r="G277" s="5" t="s">
        <v>11</v>
      </c>
      <c r="H277" s="3" t="s">
        <v>456</v>
      </c>
    </row>
    <row r="278" spans="1:8" ht="27.6" x14ac:dyDescent="0.25">
      <c r="A278" s="3" t="s">
        <v>8</v>
      </c>
      <c r="B278" s="3" t="s">
        <v>463</v>
      </c>
      <c r="C278" s="4" t="str">
        <f>HYPERLINK("http://www.rncp.cncp.gouv.fr/grand-public/visualisationFiche?format=fr&amp;fiche=4210","4210")</f>
        <v>4210</v>
      </c>
      <c r="D278" s="4" t="str">
        <f>HYPERLINK("http://www.intercariforef.org/formations/certification-55038.html","55038")</f>
        <v>55038</v>
      </c>
      <c r="E278" s="5">
        <v>13897</v>
      </c>
      <c r="F278" s="5" t="s">
        <v>10</v>
      </c>
      <c r="G278" s="5" t="s">
        <v>11</v>
      </c>
      <c r="H278" s="3" t="s">
        <v>456</v>
      </c>
    </row>
    <row r="279" spans="1:8" ht="27.6" x14ac:dyDescent="0.25">
      <c r="A279" s="3" t="s">
        <v>8</v>
      </c>
      <c r="B279" s="3" t="s">
        <v>464</v>
      </c>
      <c r="C279" s="4" t="str">
        <f>HYPERLINK("http://www.rncp.cncp.gouv.fr/grand-public/visualisationFiche?format=fr&amp;fiche=11432","11432")</f>
        <v>11432</v>
      </c>
      <c r="D279" s="4" t="str">
        <f>HYPERLINK("http://www.intercariforef.org/formations/certification-74811.html","74811")</f>
        <v>74811</v>
      </c>
      <c r="E279" s="5">
        <v>145470</v>
      </c>
      <c r="F279" s="5" t="s">
        <v>10</v>
      </c>
      <c r="G279" s="5" t="s">
        <v>11</v>
      </c>
      <c r="H279" s="3" t="s">
        <v>465</v>
      </c>
    </row>
    <row r="280" spans="1:8" ht="27.6" x14ac:dyDescent="0.25">
      <c r="A280" s="3" t="s">
        <v>8</v>
      </c>
      <c r="B280" s="3" t="s">
        <v>466</v>
      </c>
      <c r="C280" s="4" t="str">
        <f>HYPERLINK("http://www.rncp.cncp.gouv.fr/grand-public/visualisationFiche?format=fr&amp;fiche=16026","16026")</f>
        <v>16026</v>
      </c>
      <c r="D280" s="4" t="str">
        <f>HYPERLINK("http://www.intercariforef.org/formations/certification-47638.html","47638")</f>
        <v>47638</v>
      </c>
      <c r="E280" s="5">
        <v>12289</v>
      </c>
      <c r="F280" s="5" t="s">
        <v>10</v>
      </c>
      <c r="G280" s="5" t="s">
        <v>11</v>
      </c>
      <c r="H280" s="3" t="s">
        <v>467</v>
      </c>
    </row>
    <row r="281" spans="1:8" ht="41.4" x14ac:dyDescent="0.25">
      <c r="A281" s="3" t="s">
        <v>8</v>
      </c>
      <c r="B281" s="3" t="s">
        <v>468</v>
      </c>
      <c r="C281" s="4" t="str">
        <f>HYPERLINK("http://www.rncp.cncp.gouv.fr/grand-public/visualisationFiche?format=fr&amp;fiche=16028","16028")</f>
        <v>16028</v>
      </c>
      <c r="D281" s="4" t="str">
        <f>HYPERLINK("http://www.intercariforef.org/formations/certification-66247.html","66247")</f>
        <v>66247</v>
      </c>
      <c r="E281" s="5">
        <v>12261</v>
      </c>
      <c r="F281" s="5" t="s">
        <v>10</v>
      </c>
      <c r="G281" s="5" t="s">
        <v>11</v>
      </c>
      <c r="H281" s="3" t="s">
        <v>467</v>
      </c>
    </row>
    <row r="282" spans="1:8" ht="41.4" x14ac:dyDescent="0.25">
      <c r="A282" s="3" t="s">
        <v>8</v>
      </c>
      <c r="B282" s="3" t="s">
        <v>469</v>
      </c>
      <c r="C282" s="4" t="str">
        <f>HYPERLINK("http://www.rncp.cncp.gouv.fr/grand-public/visualisationFiche?format=fr&amp;fiche=16027","16027")</f>
        <v>16027</v>
      </c>
      <c r="D282" s="4" t="str">
        <f>HYPERLINK("http://www.intercariforef.org/formations/certification-77298.html","77298")</f>
        <v>77298</v>
      </c>
      <c r="E282" s="5">
        <v>12290</v>
      </c>
      <c r="F282" s="5" t="s">
        <v>10</v>
      </c>
      <c r="G282" s="5" t="s">
        <v>11</v>
      </c>
      <c r="H282" s="3" t="s">
        <v>467</v>
      </c>
    </row>
    <row r="283" spans="1:8" ht="41.4" x14ac:dyDescent="0.25">
      <c r="A283" s="3" t="s">
        <v>8</v>
      </c>
      <c r="B283" s="3" t="s">
        <v>470</v>
      </c>
      <c r="C283" s="4" t="str">
        <f>HYPERLINK("http://www.rncp.cncp.gouv.fr/grand-public/visualisationFiche?format=fr&amp;fiche=16147","16147")</f>
        <v>16147</v>
      </c>
      <c r="D283" s="4" t="str">
        <f>HYPERLINK("http://www.intercariforef.org/formations/certification-47766.html","47766")</f>
        <v>47766</v>
      </c>
      <c r="E283" s="5">
        <v>11870</v>
      </c>
      <c r="F283" s="5" t="s">
        <v>10</v>
      </c>
      <c r="G283" s="5" t="s">
        <v>11</v>
      </c>
      <c r="H283" s="3" t="s">
        <v>471</v>
      </c>
    </row>
    <row r="284" spans="1:8" ht="41.4" x14ac:dyDescent="0.25">
      <c r="A284" s="3" t="s">
        <v>8</v>
      </c>
      <c r="B284" s="3" t="s">
        <v>472</v>
      </c>
      <c r="C284" s="4" t="str">
        <f>HYPERLINK("http://www.rncp.cncp.gouv.fr/grand-public/visualisationFiche?format=fr&amp;fiche=16149","16149")</f>
        <v>16149</v>
      </c>
      <c r="D284" s="4" t="str">
        <f>HYPERLINK("http://www.intercariforef.org/formations/certification-13341.html","13341")</f>
        <v>13341</v>
      </c>
      <c r="E284" s="5">
        <v>11955</v>
      </c>
      <c r="F284" s="5" t="s">
        <v>10</v>
      </c>
      <c r="G284" s="5" t="s">
        <v>11</v>
      </c>
      <c r="H284" s="3" t="s">
        <v>471</v>
      </c>
    </row>
    <row r="285" spans="1:8" ht="41.4" x14ac:dyDescent="0.25">
      <c r="A285" s="3" t="s">
        <v>8</v>
      </c>
      <c r="B285" s="3" t="s">
        <v>473</v>
      </c>
      <c r="C285" s="4" t="str">
        <f>HYPERLINK("http://www.rncp.cncp.gouv.fr/grand-public/visualisationFiche?format=fr&amp;fiche=16150","16150")</f>
        <v>16150</v>
      </c>
      <c r="D285" s="4" t="str">
        <f>HYPERLINK("http://www.intercariforef.org/formations/certification-64096.html","64096")</f>
        <v>64096</v>
      </c>
      <c r="E285" s="5">
        <v>145473</v>
      </c>
      <c r="F285" s="5" t="s">
        <v>10</v>
      </c>
      <c r="G285" s="5" t="s">
        <v>11</v>
      </c>
      <c r="H285" s="3" t="s">
        <v>471</v>
      </c>
    </row>
    <row r="286" spans="1:8" ht="27.6" x14ac:dyDescent="0.25">
      <c r="A286" s="3" t="s">
        <v>8</v>
      </c>
      <c r="B286" s="3" t="s">
        <v>474</v>
      </c>
      <c r="C286" s="4" t="str">
        <f>HYPERLINK("http://www.rncp.cncp.gouv.fr/grand-public/visualisationFiche?format=fr&amp;fiche=16151","16151")</f>
        <v>16151</v>
      </c>
      <c r="D286" s="4" t="str">
        <f>HYPERLINK("http://www.intercariforef.org/formations/certification-76985.html","76985")</f>
        <v>76985</v>
      </c>
      <c r="E286" s="5">
        <v>12263</v>
      </c>
      <c r="F286" s="5" t="s">
        <v>10</v>
      </c>
      <c r="G286" s="5" t="s">
        <v>11</v>
      </c>
      <c r="H286" s="3" t="s">
        <v>475</v>
      </c>
    </row>
    <row r="287" spans="1:8" ht="27.6" x14ac:dyDescent="0.25">
      <c r="A287" s="3" t="s">
        <v>8</v>
      </c>
      <c r="B287" s="3" t="s">
        <v>476</v>
      </c>
      <c r="C287" s="4" t="str">
        <f>HYPERLINK("http://www.rncp.cncp.gouv.fr/grand-public/visualisationFiche?format=fr&amp;fiche=11443","11443")</f>
        <v>11443</v>
      </c>
      <c r="D287" s="4" t="str">
        <f>HYPERLINK("http://www.intercariforef.org/formations/certification-59070.html","59070")</f>
        <v>59070</v>
      </c>
      <c r="E287" s="5">
        <v>12936</v>
      </c>
      <c r="F287" s="5" t="s">
        <v>10</v>
      </c>
      <c r="G287" s="5" t="s">
        <v>11</v>
      </c>
      <c r="H287" s="3" t="s">
        <v>477</v>
      </c>
    </row>
    <row r="288" spans="1:8" ht="27.6" x14ac:dyDescent="0.25">
      <c r="A288" s="3" t="s">
        <v>8</v>
      </c>
      <c r="B288" s="3" t="s">
        <v>478</v>
      </c>
      <c r="C288" s="4" t="str">
        <f>HYPERLINK("http://www.rncp.cncp.gouv.fr/grand-public/visualisationFiche?format=fr&amp;fiche=17095","17095")</f>
        <v>17095</v>
      </c>
      <c r="D288" s="4" t="str">
        <f>HYPERLINK("http://www.intercariforef.org/formations/certification-66286.html","66286")</f>
        <v>66286</v>
      </c>
      <c r="E288" s="5">
        <v>12394</v>
      </c>
      <c r="F288" s="5" t="s">
        <v>10</v>
      </c>
      <c r="G288" s="5" t="s">
        <v>11</v>
      </c>
      <c r="H288" s="3" t="s">
        <v>479</v>
      </c>
    </row>
    <row r="289" spans="1:8" ht="27.6" x14ac:dyDescent="0.25">
      <c r="A289" s="3" t="s">
        <v>8</v>
      </c>
      <c r="B289" s="3" t="s">
        <v>480</v>
      </c>
      <c r="C289" s="4" t="str">
        <f>HYPERLINK("http://www.rncp.cncp.gouv.fr/grand-public/visualisationFiche?format=fr&amp;fiche=12741","12741")</f>
        <v>12741</v>
      </c>
      <c r="D289" s="4" t="str">
        <f>HYPERLINK("http://www.intercariforef.org/formations/certification-66288.html","66288")</f>
        <v>66288</v>
      </c>
      <c r="E289" s="5">
        <v>131764</v>
      </c>
      <c r="F289" s="5" t="s">
        <v>10</v>
      </c>
      <c r="G289" s="5" t="s">
        <v>11</v>
      </c>
      <c r="H289" s="3" t="s">
        <v>481</v>
      </c>
    </row>
    <row r="290" spans="1:8" ht="13.8" x14ac:dyDescent="0.25">
      <c r="A290" s="3" t="s">
        <v>8</v>
      </c>
      <c r="B290" s="3" t="s">
        <v>482</v>
      </c>
      <c r="C290" s="4" t="str">
        <f>HYPERLINK("http://www.rncp.cncp.gouv.fr/grand-public/visualisationFiche?format=fr&amp;fiche=16392","16392")</f>
        <v>16392</v>
      </c>
      <c r="D290" s="4" t="str">
        <f>HYPERLINK("http://www.intercariforef.org/formations/certification-76848.html","76848")</f>
        <v>76848</v>
      </c>
      <c r="E290" s="5">
        <v>13991</v>
      </c>
      <c r="F290" s="5" t="s">
        <v>10</v>
      </c>
      <c r="G290" s="5" t="s">
        <v>11</v>
      </c>
      <c r="H290" s="3" t="s">
        <v>483</v>
      </c>
    </row>
    <row r="291" spans="1:8" ht="13.8" x14ac:dyDescent="0.25">
      <c r="A291" s="3" t="s">
        <v>8</v>
      </c>
      <c r="B291" s="3" t="s">
        <v>484</v>
      </c>
      <c r="C291" s="4" t="str">
        <f>HYPERLINK("http://www.rncp.cncp.gouv.fr/grand-public/visualisationFiche?format=fr&amp;fiche=4181","4181")</f>
        <v>4181</v>
      </c>
      <c r="D291" s="4" t="str">
        <f>HYPERLINK("http://www.intercariforef.org/formations/certification-47685.html","47685")</f>
        <v>47685</v>
      </c>
      <c r="E291" s="5">
        <v>145475</v>
      </c>
      <c r="F291" s="5" t="s">
        <v>10</v>
      </c>
      <c r="G291" s="5" t="s">
        <v>11</v>
      </c>
      <c r="H291" s="3" t="s">
        <v>485</v>
      </c>
    </row>
    <row r="292" spans="1:8" ht="27.6" x14ac:dyDescent="0.25">
      <c r="A292" s="3" t="s">
        <v>8</v>
      </c>
      <c r="B292" s="3" t="s">
        <v>486</v>
      </c>
      <c r="C292" s="4" t="str">
        <f>HYPERLINK("http://www.rncp.cncp.gouv.fr/grand-public/visualisationFiche?format=fr&amp;fiche=5597","5597")</f>
        <v>5597</v>
      </c>
      <c r="D292" s="4" t="str">
        <f>HYPERLINK("http://www.intercariforef.org/formations/certification-47700.html","47700")</f>
        <v>47700</v>
      </c>
      <c r="E292" s="5">
        <v>145476</v>
      </c>
      <c r="F292" s="5" t="s">
        <v>10</v>
      </c>
      <c r="G292" s="5" t="s">
        <v>11</v>
      </c>
      <c r="H292" s="3" t="s">
        <v>487</v>
      </c>
    </row>
    <row r="293" spans="1:8" ht="27.6" x14ac:dyDescent="0.25">
      <c r="A293" s="3" t="s">
        <v>8</v>
      </c>
      <c r="B293" s="3" t="s">
        <v>488</v>
      </c>
      <c r="C293" s="4" t="str">
        <f>HYPERLINK("http://www.rncp.cncp.gouv.fr/grand-public/visualisationFiche?format=fr&amp;fiche=4554","4554")</f>
        <v>4554</v>
      </c>
      <c r="D293" s="4" t="str">
        <f>HYPERLINK("http://www.intercariforef.org/formations/certification-58872.html","58872")</f>
        <v>58872</v>
      </c>
      <c r="E293" s="5">
        <v>13993</v>
      </c>
      <c r="F293" s="5" t="s">
        <v>10</v>
      </c>
      <c r="G293" s="5" t="s">
        <v>11</v>
      </c>
      <c r="H293" s="3" t="s">
        <v>489</v>
      </c>
    </row>
    <row r="294" spans="1:8" ht="27.6" x14ac:dyDescent="0.25">
      <c r="A294" s="3" t="s">
        <v>8</v>
      </c>
      <c r="B294" s="3" t="s">
        <v>490</v>
      </c>
      <c r="C294" s="4" t="str">
        <f>HYPERLINK("http://www.rncp.cncp.gouv.fr/grand-public/visualisationFiche?format=fr&amp;fiche=13040","13040")</f>
        <v>13040</v>
      </c>
      <c r="D294" s="4" t="str">
        <f>HYPERLINK("http://www.intercariforef.org/formations/certification-13142.html","13142")</f>
        <v>13142</v>
      </c>
      <c r="E294" s="5">
        <v>13994</v>
      </c>
      <c r="F294" s="5" t="s">
        <v>10</v>
      </c>
      <c r="G294" s="5" t="s">
        <v>11</v>
      </c>
      <c r="H294" s="3" t="s">
        <v>491</v>
      </c>
    </row>
    <row r="295" spans="1:8" ht="27.6" x14ac:dyDescent="0.25">
      <c r="A295" s="3" t="s">
        <v>8</v>
      </c>
      <c r="B295" s="3" t="s">
        <v>492</v>
      </c>
      <c r="C295" s="5"/>
      <c r="D295" s="4" t="str">
        <f>HYPERLINK("http://www.intercariforef.org/formations/certification-77315.html","77315")</f>
        <v>77315</v>
      </c>
      <c r="E295" s="5">
        <v>145477</v>
      </c>
      <c r="F295" s="5" t="s">
        <v>10</v>
      </c>
      <c r="G295" s="5" t="s">
        <v>11</v>
      </c>
      <c r="H295" s="3" t="s">
        <v>493</v>
      </c>
    </row>
    <row r="296" spans="1:8" ht="27.6" x14ac:dyDescent="0.25">
      <c r="A296" s="3" t="s">
        <v>8</v>
      </c>
      <c r="B296" s="3" t="s">
        <v>494</v>
      </c>
      <c r="C296" s="4" t="str">
        <f>HYPERLINK("http://www.rncp.cncp.gouv.fr/grand-public/visualisationFiche?format=fr&amp;fiche=4594","4594")</f>
        <v>4594</v>
      </c>
      <c r="D296" s="4" t="str">
        <f>HYPERLINK("http://www.intercariforef.org/formations/certification-47451.html","47451")</f>
        <v>47451</v>
      </c>
      <c r="E296" s="5">
        <v>13902</v>
      </c>
      <c r="F296" s="5" t="s">
        <v>10</v>
      </c>
      <c r="G296" s="5" t="s">
        <v>11</v>
      </c>
      <c r="H296" s="3" t="s">
        <v>495</v>
      </c>
    </row>
    <row r="297" spans="1:8" ht="27.6" x14ac:dyDescent="0.25">
      <c r="A297" s="3" t="s">
        <v>8</v>
      </c>
      <c r="B297" s="3" t="s">
        <v>496</v>
      </c>
      <c r="C297" s="5"/>
      <c r="D297" s="4" t="str">
        <f>HYPERLINK("http://www.intercariforef.org/formations/certification-13136.html","13136")</f>
        <v>13136</v>
      </c>
      <c r="E297" s="5">
        <v>13997</v>
      </c>
      <c r="F297" s="5" t="s">
        <v>10</v>
      </c>
      <c r="G297" s="5" t="s">
        <v>11</v>
      </c>
      <c r="H297" s="3" t="s">
        <v>497</v>
      </c>
    </row>
    <row r="298" spans="1:8" ht="27.6" x14ac:dyDescent="0.25">
      <c r="A298" s="3" t="s">
        <v>8</v>
      </c>
      <c r="B298" s="3" t="s">
        <v>498</v>
      </c>
      <c r="C298" s="4" t="str">
        <f>HYPERLINK("http://www.rncp.cncp.gouv.fr/grand-public/visualisationFiche?format=fr&amp;fiche=4467","4467")</f>
        <v>4467</v>
      </c>
      <c r="D298" s="4" t="str">
        <f>HYPERLINK("http://www.intercariforef.org/formations/certification-51835.html","51835")</f>
        <v>51835</v>
      </c>
      <c r="E298" s="5">
        <v>13998</v>
      </c>
      <c r="F298" s="5" t="s">
        <v>10</v>
      </c>
      <c r="G298" s="5" t="s">
        <v>11</v>
      </c>
      <c r="H298" s="3" t="s">
        <v>499</v>
      </c>
    </row>
    <row r="299" spans="1:8" ht="13.8" x14ac:dyDescent="0.25">
      <c r="A299" s="3" t="s">
        <v>8</v>
      </c>
      <c r="B299" s="3" t="s">
        <v>500</v>
      </c>
      <c r="C299" s="4" t="str">
        <f>HYPERLINK("http://www.rncp.cncp.gouv.fr/grand-public/visualisationFiche?format=fr&amp;fiche=4581","4581")</f>
        <v>4581</v>
      </c>
      <c r="D299" s="4" t="str">
        <f>HYPERLINK("http://www.intercariforef.org/formations/certification-52979.html","52979")</f>
        <v>52979</v>
      </c>
      <c r="E299" s="5">
        <v>13980</v>
      </c>
      <c r="F299" s="5" t="s">
        <v>10</v>
      </c>
      <c r="G299" s="5" t="s">
        <v>11</v>
      </c>
      <c r="H299" s="3" t="s">
        <v>501</v>
      </c>
    </row>
    <row r="300" spans="1:8" ht="13.8" x14ac:dyDescent="0.25">
      <c r="A300" s="3" t="s">
        <v>8</v>
      </c>
      <c r="B300" s="3" t="s">
        <v>502</v>
      </c>
      <c r="C300" s="4" t="str">
        <f>HYPERLINK("http://www.rncp.cncp.gouv.fr/grand-public/visualisationFiche?format=fr&amp;fiche=11479","11479")</f>
        <v>11479</v>
      </c>
      <c r="D300" s="4" t="str">
        <f>HYPERLINK("http://www.intercariforef.org/formations/certification-13139.html","13139")</f>
        <v>13139</v>
      </c>
      <c r="E300" s="5">
        <v>11523</v>
      </c>
      <c r="F300" s="5" t="s">
        <v>10</v>
      </c>
      <c r="G300" s="5" t="s">
        <v>11</v>
      </c>
      <c r="H300" s="3" t="s">
        <v>503</v>
      </c>
    </row>
    <row r="301" spans="1:8" ht="41.4" x14ac:dyDescent="0.25">
      <c r="A301" s="3" t="s">
        <v>8</v>
      </c>
      <c r="B301" s="3" t="s">
        <v>504</v>
      </c>
      <c r="C301" s="4" t="str">
        <f>HYPERLINK("http://www.rncp.cncp.gouv.fr/grand-public/visualisationFiche?format=fr&amp;fiche=17037","17037")</f>
        <v>17037</v>
      </c>
      <c r="D301" s="4" t="str">
        <f>HYPERLINK("http://www.intercariforef.org/formations/certification-62739.html","62739")</f>
        <v>62739</v>
      </c>
      <c r="E301" s="5">
        <v>145478</v>
      </c>
      <c r="F301" s="5" t="s">
        <v>10</v>
      </c>
      <c r="G301" s="5" t="s">
        <v>11</v>
      </c>
      <c r="H301" s="3" t="s">
        <v>505</v>
      </c>
    </row>
    <row r="302" spans="1:8" ht="41.4" x14ac:dyDescent="0.25">
      <c r="A302" s="3" t="s">
        <v>8</v>
      </c>
      <c r="B302" s="3" t="s">
        <v>506</v>
      </c>
      <c r="C302" s="4" t="str">
        <f>HYPERLINK("http://www.rncp.cncp.gouv.fr/grand-public/visualisationFiche?format=fr&amp;fiche=17040","17040")</f>
        <v>17040</v>
      </c>
      <c r="D302" s="4" t="str">
        <f>HYPERLINK("http://www.intercariforef.org/formations/certification-62776.html","62776")</f>
        <v>62776</v>
      </c>
      <c r="E302" s="5">
        <v>145480</v>
      </c>
      <c r="F302" s="5" t="s">
        <v>10</v>
      </c>
      <c r="G302" s="5" t="s">
        <v>11</v>
      </c>
      <c r="H302" s="3" t="s">
        <v>507</v>
      </c>
    </row>
    <row r="303" spans="1:8" ht="27.6" x14ac:dyDescent="0.25">
      <c r="A303" s="3" t="s">
        <v>8</v>
      </c>
      <c r="B303" s="3" t="s">
        <v>508</v>
      </c>
      <c r="C303" s="4" t="str">
        <f>HYPERLINK("http://www.rncp.cncp.gouv.fr/grand-public/visualisationFiche?format=fr&amp;fiche=17045","17045")</f>
        <v>17045</v>
      </c>
      <c r="D303" s="4" t="str">
        <f>HYPERLINK("http://www.intercariforef.org/formations/certification-62777.html","62777")</f>
        <v>62777</v>
      </c>
      <c r="E303" s="5">
        <v>145479</v>
      </c>
      <c r="F303" s="5" t="s">
        <v>10</v>
      </c>
      <c r="G303" s="5" t="s">
        <v>11</v>
      </c>
      <c r="H303" s="3" t="s">
        <v>507</v>
      </c>
    </row>
    <row r="304" spans="1:8" ht="27.6" x14ac:dyDescent="0.25">
      <c r="A304" s="3" t="s">
        <v>8</v>
      </c>
      <c r="B304" s="3" t="s">
        <v>509</v>
      </c>
      <c r="C304" s="4" t="str">
        <f>HYPERLINK("http://www.rncp.cncp.gouv.fr/grand-public/visualisationFiche?format=fr&amp;fiche=20703","20703")</f>
        <v>20703</v>
      </c>
      <c r="D304" s="4" t="str">
        <f>HYPERLINK("http://www.intercariforef.org/formations/certification-47693.html","47693")</f>
        <v>47693</v>
      </c>
      <c r="E304" s="5">
        <v>13558</v>
      </c>
      <c r="F304" s="5" t="s">
        <v>10</v>
      </c>
      <c r="G304" s="5" t="s">
        <v>11</v>
      </c>
      <c r="H304" s="3" t="s">
        <v>510</v>
      </c>
    </row>
    <row r="305" spans="1:8" ht="13.8" x14ac:dyDescent="0.25">
      <c r="A305" s="3" t="s">
        <v>8</v>
      </c>
      <c r="B305" s="3" t="s">
        <v>511</v>
      </c>
      <c r="C305" s="4" t="str">
        <f>HYPERLINK("http://www.rncp.cncp.gouv.fr/grand-public/visualisationFiche?format=fr&amp;fiche=4360","4360")</f>
        <v>4360</v>
      </c>
      <c r="D305" s="4" t="str">
        <f>HYPERLINK("http://www.intercariforef.org/formations/certification-58894.html","58894")</f>
        <v>58894</v>
      </c>
      <c r="E305" s="5">
        <v>145481</v>
      </c>
      <c r="F305" s="5" t="s">
        <v>10</v>
      </c>
      <c r="G305" s="5" t="s">
        <v>11</v>
      </c>
      <c r="H305" s="3" t="s">
        <v>512</v>
      </c>
    </row>
    <row r="306" spans="1:8" ht="13.8" x14ac:dyDescent="0.25">
      <c r="A306" s="3" t="s">
        <v>8</v>
      </c>
      <c r="B306" s="3" t="s">
        <v>513</v>
      </c>
      <c r="C306" s="4" t="str">
        <f>HYPERLINK("http://www.rncp.cncp.gouv.fr/grand-public/visualisationFiche?format=fr&amp;fiche=14310","14310")</f>
        <v>14310</v>
      </c>
      <c r="D306" s="4" t="str">
        <f>HYPERLINK("http://www.intercariforef.org/formations/certification-66155.html","66155")</f>
        <v>66155</v>
      </c>
      <c r="E306" s="5">
        <v>13903</v>
      </c>
      <c r="F306" s="5" t="s">
        <v>10</v>
      </c>
      <c r="G306" s="5" t="s">
        <v>11</v>
      </c>
      <c r="H306" s="3" t="s">
        <v>514</v>
      </c>
    </row>
    <row r="307" spans="1:8" ht="27.6" x14ac:dyDescent="0.25">
      <c r="A307" s="3" t="s">
        <v>8</v>
      </c>
      <c r="B307" s="3" t="s">
        <v>515</v>
      </c>
      <c r="C307" s="5"/>
      <c r="D307" s="4" t="str">
        <f>HYPERLINK("http://www.intercariforef.org/formations/certification-82516.html","82516")</f>
        <v>82516</v>
      </c>
      <c r="E307" s="5">
        <v>150727</v>
      </c>
      <c r="F307" s="5" t="s">
        <v>10</v>
      </c>
      <c r="G307" s="5" t="s">
        <v>11</v>
      </c>
      <c r="H307" s="3" t="s">
        <v>516</v>
      </c>
    </row>
    <row r="308" spans="1:8" ht="27.6" x14ac:dyDescent="0.25">
      <c r="A308" s="3" t="s">
        <v>8</v>
      </c>
      <c r="B308" s="3" t="s">
        <v>517</v>
      </c>
      <c r="C308" s="4" t="str">
        <f>HYPERLINK("http://www.rncp.cncp.gouv.fr/grand-public/visualisationFiche?format=fr&amp;fiche=13969","13969")</f>
        <v>13969</v>
      </c>
      <c r="D308" s="4" t="str">
        <f>HYPERLINK("http://www.intercariforef.org/formations/certification-60511.html","60511")</f>
        <v>60511</v>
      </c>
      <c r="E308" s="5">
        <v>14037</v>
      </c>
      <c r="F308" s="5" t="s">
        <v>10</v>
      </c>
      <c r="G308" s="5" t="s">
        <v>11</v>
      </c>
      <c r="H308" s="3" t="s">
        <v>518</v>
      </c>
    </row>
    <row r="309" spans="1:8" ht="27.6" x14ac:dyDescent="0.25">
      <c r="A309" s="3" t="s">
        <v>8</v>
      </c>
      <c r="B309" s="3" t="s">
        <v>519</v>
      </c>
      <c r="C309" s="4" t="str">
        <f>HYPERLINK("http://www.rncp.cncp.gouv.fr/grand-public/visualisationFiche?format=fr&amp;fiche=13981","13981")</f>
        <v>13981</v>
      </c>
      <c r="D309" s="4" t="str">
        <f>HYPERLINK("http://www.intercariforef.org/formations/certification-47723.html","47723")</f>
        <v>47723</v>
      </c>
      <c r="E309" s="5">
        <v>11650</v>
      </c>
      <c r="F309" s="5" t="s">
        <v>10</v>
      </c>
      <c r="G309" s="5" t="s">
        <v>11</v>
      </c>
      <c r="H309" s="3" t="s">
        <v>516</v>
      </c>
    </row>
    <row r="310" spans="1:8" ht="27.6" x14ac:dyDescent="0.25">
      <c r="A310" s="3" t="s">
        <v>8</v>
      </c>
      <c r="B310" s="3" t="s">
        <v>520</v>
      </c>
      <c r="C310" s="4" t="str">
        <f>HYPERLINK("http://www.rncp.cncp.gouv.fr/grand-public/visualisationFiche?format=fr&amp;fiche=13983","13983")</f>
        <v>13983</v>
      </c>
      <c r="D310" s="4" t="str">
        <f>HYPERLINK("http://www.intercariforef.org/formations/certification-80088.html","80088")</f>
        <v>80088</v>
      </c>
      <c r="E310" s="5">
        <v>11679</v>
      </c>
      <c r="F310" s="5" t="s">
        <v>10</v>
      </c>
      <c r="G310" s="5" t="s">
        <v>11</v>
      </c>
      <c r="H310" s="3" t="s">
        <v>518</v>
      </c>
    </row>
    <row r="311" spans="1:8" ht="27.6" x14ac:dyDescent="0.25">
      <c r="A311" s="3" t="s">
        <v>8</v>
      </c>
      <c r="B311" s="3" t="s">
        <v>521</v>
      </c>
      <c r="C311" s="4" t="str">
        <f>HYPERLINK("http://www.rncp.cncp.gouv.fr/grand-public/visualisationFiche?format=fr&amp;fiche=13982","13982")</f>
        <v>13982</v>
      </c>
      <c r="D311" s="4" t="str">
        <f>HYPERLINK("http://www.intercariforef.org/formations/certification-47725.html","47725")</f>
        <v>47725</v>
      </c>
      <c r="E311" s="5">
        <v>13909</v>
      </c>
      <c r="F311" s="5" t="s">
        <v>10</v>
      </c>
      <c r="G311" s="5" t="s">
        <v>11</v>
      </c>
      <c r="H311" s="3" t="s">
        <v>516</v>
      </c>
    </row>
    <row r="312" spans="1:8" ht="27.6" x14ac:dyDescent="0.25">
      <c r="A312" s="3" t="s">
        <v>8</v>
      </c>
      <c r="B312" s="3" t="s">
        <v>522</v>
      </c>
      <c r="C312" s="4" t="str">
        <f>HYPERLINK("http://www.rncp.cncp.gouv.fr/grand-public/visualisationFiche?format=fr&amp;fiche=13987","13987")</f>
        <v>13987</v>
      </c>
      <c r="D312" s="4" t="str">
        <f>HYPERLINK("http://www.intercariforef.org/formations/certification-74788.html","74788")</f>
        <v>74788</v>
      </c>
      <c r="E312" s="5">
        <v>13911</v>
      </c>
      <c r="F312" s="5" t="s">
        <v>10</v>
      </c>
      <c r="G312" s="5" t="s">
        <v>11</v>
      </c>
      <c r="H312" s="3" t="s">
        <v>516</v>
      </c>
    </row>
    <row r="313" spans="1:8" ht="27.6" x14ac:dyDescent="0.25">
      <c r="A313" s="3" t="s">
        <v>8</v>
      </c>
      <c r="B313" s="3" t="s">
        <v>523</v>
      </c>
      <c r="C313" s="4" t="str">
        <f>HYPERLINK("http://www.rncp.cncp.gouv.fr/grand-public/visualisationFiche?format=fr&amp;fiche=13974","13974")</f>
        <v>13974</v>
      </c>
      <c r="D313" s="4" t="str">
        <f>HYPERLINK("http://www.intercariforef.org/formations/certification-74787.html","74787")</f>
        <v>74787</v>
      </c>
      <c r="E313" s="5">
        <v>13910</v>
      </c>
      <c r="F313" s="5" t="s">
        <v>10</v>
      </c>
      <c r="G313" s="5" t="s">
        <v>11</v>
      </c>
      <c r="H313" s="3" t="s">
        <v>516</v>
      </c>
    </row>
    <row r="314" spans="1:8" ht="27.6" x14ac:dyDescent="0.25">
      <c r="A314" s="3" t="s">
        <v>8</v>
      </c>
      <c r="B314" s="3" t="s">
        <v>524</v>
      </c>
      <c r="C314" s="4" t="str">
        <f>HYPERLINK("http://www.rncp.cncp.gouv.fr/grand-public/visualisationFiche?format=fr&amp;fiche=10191","10191")</f>
        <v>10191</v>
      </c>
      <c r="D314" s="4" t="str">
        <f>HYPERLINK("http://www.intercariforef.org/formations/certification-47726.html","47726")</f>
        <v>47726</v>
      </c>
      <c r="E314" s="5">
        <v>13916</v>
      </c>
      <c r="F314" s="5" t="s">
        <v>10</v>
      </c>
      <c r="G314" s="5" t="s">
        <v>11</v>
      </c>
      <c r="H314" s="3" t="s">
        <v>525</v>
      </c>
    </row>
    <row r="315" spans="1:8" ht="27.6" x14ac:dyDescent="0.25">
      <c r="A315" s="3" t="s">
        <v>8</v>
      </c>
      <c r="B315" s="3" t="s">
        <v>526</v>
      </c>
      <c r="C315" s="4" t="str">
        <f>HYPERLINK("http://www.rncp.cncp.gouv.fr/grand-public/visualisationFiche?format=fr&amp;fiche=10190","10190")</f>
        <v>10190</v>
      </c>
      <c r="D315" s="4" t="str">
        <f>HYPERLINK("http://www.intercariforef.org/formations/certification-47728.html","47728")</f>
        <v>47728</v>
      </c>
      <c r="E315" s="5">
        <v>13917</v>
      </c>
      <c r="F315" s="5" t="s">
        <v>10</v>
      </c>
      <c r="G315" s="5" t="s">
        <v>11</v>
      </c>
      <c r="H315" s="3" t="s">
        <v>525</v>
      </c>
    </row>
    <row r="316" spans="1:8" ht="27.6" x14ac:dyDescent="0.25">
      <c r="A316" s="3" t="s">
        <v>8</v>
      </c>
      <c r="B316" s="3" t="s">
        <v>527</v>
      </c>
      <c r="C316" s="4" t="str">
        <f>HYPERLINK("http://www.rncp.cncp.gouv.fr/grand-public/visualisationFiche?format=fr&amp;fiche=10193","10193")</f>
        <v>10193</v>
      </c>
      <c r="D316" s="4" t="str">
        <f>HYPERLINK("http://www.intercariforef.org/formations/certification-47734.html","47734")</f>
        <v>47734</v>
      </c>
      <c r="E316" s="5">
        <v>11692</v>
      </c>
      <c r="F316" s="5" t="s">
        <v>10</v>
      </c>
      <c r="G316" s="5" t="s">
        <v>11</v>
      </c>
      <c r="H316" s="3" t="s">
        <v>525</v>
      </c>
    </row>
    <row r="317" spans="1:8" ht="13.8" x14ac:dyDescent="0.25">
      <c r="A317" s="3" t="s">
        <v>8</v>
      </c>
      <c r="B317" s="3" t="s">
        <v>528</v>
      </c>
      <c r="C317" s="4" t="str">
        <f>HYPERLINK("http://www.rncp.cncp.gouv.fr/grand-public/visualisationFiche?format=fr&amp;fiche=10194","10194")</f>
        <v>10194</v>
      </c>
      <c r="D317" s="4" t="str">
        <f>HYPERLINK("http://www.intercariforef.org/formations/certification-47735.html","47735")</f>
        <v>47735</v>
      </c>
      <c r="E317" s="5">
        <v>13918</v>
      </c>
      <c r="F317" s="5" t="s">
        <v>10</v>
      </c>
      <c r="G317" s="5" t="s">
        <v>11</v>
      </c>
      <c r="H317" s="3" t="s">
        <v>525</v>
      </c>
    </row>
    <row r="318" spans="1:8" ht="27.6" x14ac:dyDescent="0.25">
      <c r="A318" s="3" t="s">
        <v>8</v>
      </c>
      <c r="B318" s="3" t="s">
        <v>529</v>
      </c>
      <c r="C318" s="4" t="str">
        <f>HYPERLINK("http://www.rncp.cncp.gouv.fr/grand-public/visualisationFiche?format=fr&amp;fiche=8682","8682")</f>
        <v>8682</v>
      </c>
      <c r="D318" s="4" t="str">
        <f>HYPERLINK("http://www.intercariforef.org/formations/certification-47736.html","47736")</f>
        <v>47736</v>
      </c>
      <c r="E318" s="5">
        <v>13919</v>
      </c>
      <c r="F318" s="5" t="s">
        <v>10</v>
      </c>
      <c r="G318" s="5" t="s">
        <v>11</v>
      </c>
      <c r="H318" s="3" t="s">
        <v>525</v>
      </c>
    </row>
    <row r="319" spans="1:8" ht="27.6" x14ac:dyDescent="0.25">
      <c r="A319" s="3" t="s">
        <v>8</v>
      </c>
      <c r="B319" s="3" t="s">
        <v>530</v>
      </c>
      <c r="C319" s="4" t="str">
        <f>HYPERLINK("http://www.rncp.cncp.gouv.fr/grand-public/visualisationFiche?format=fr&amp;fiche=17177","17177")</f>
        <v>17177</v>
      </c>
      <c r="D319" s="4" t="str">
        <f>HYPERLINK("http://www.intercariforef.org/formations/certification-74676.html","74676")</f>
        <v>74676</v>
      </c>
      <c r="E319" s="5">
        <v>11973</v>
      </c>
      <c r="F319" s="5" t="s">
        <v>10</v>
      </c>
      <c r="G319" s="5" t="s">
        <v>11</v>
      </c>
      <c r="H319" s="3" t="s">
        <v>531</v>
      </c>
    </row>
    <row r="320" spans="1:8" ht="13.8" x14ac:dyDescent="0.25">
      <c r="A320" s="3" t="s">
        <v>8</v>
      </c>
      <c r="B320" s="3" t="s">
        <v>532</v>
      </c>
      <c r="C320" s="4" t="str">
        <f>HYPERLINK("http://www.rncp.cncp.gouv.fr/grand-public/visualisationFiche?format=fr&amp;fiche=17226","17226")</f>
        <v>17226</v>
      </c>
      <c r="D320" s="4" t="str">
        <f>HYPERLINK("http://www.intercariforef.org/formations/certification-47756.html","47756")</f>
        <v>47756</v>
      </c>
      <c r="E320" s="5">
        <v>13604</v>
      </c>
      <c r="F320" s="5" t="s">
        <v>10</v>
      </c>
      <c r="G320" s="5" t="s">
        <v>11</v>
      </c>
      <c r="H320" s="3" t="s">
        <v>531</v>
      </c>
    </row>
    <row r="321" spans="1:8" ht="27.6" x14ac:dyDescent="0.25">
      <c r="A321" s="3" t="s">
        <v>8</v>
      </c>
      <c r="B321" s="3" t="s">
        <v>533</v>
      </c>
      <c r="C321" s="4" t="str">
        <f>HYPERLINK("http://www.rncp.cncp.gouv.fr/grand-public/visualisationFiche?format=fr&amp;fiche=17175","17175")</f>
        <v>17175</v>
      </c>
      <c r="D321" s="4" t="str">
        <f>HYPERLINK("http://www.intercariforef.org/formations/certification-76870.html","76870")</f>
        <v>76870</v>
      </c>
      <c r="E321" s="5">
        <v>13920</v>
      </c>
      <c r="F321" s="5" t="s">
        <v>10</v>
      </c>
      <c r="G321" s="5" t="s">
        <v>11</v>
      </c>
      <c r="H321" s="3" t="s">
        <v>531</v>
      </c>
    </row>
    <row r="322" spans="1:8" ht="27.6" x14ac:dyDescent="0.25">
      <c r="A322" s="3" t="s">
        <v>8</v>
      </c>
      <c r="B322" s="3" t="s">
        <v>534</v>
      </c>
      <c r="C322" s="4" t="str">
        <f>HYPERLINK("http://www.rncp.cncp.gouv.fr/grand-public/visualisationFiche?format=fr&amp;fiche=17210","17210")</f>
        <v>17210</v>
      </c>
      <c r="D322" s="4" t="str">
        <f>HYPERLINK("http://www.intercariforef.org/formations/certification-47724.html","47724")</f>
        <v>47724</v>
      </c>
      <c r="E322" s="5">
        <v>13599</v>
      </c>
      <c r="F322" s="5" t="s">
        <v>10</v>
      </c>
      <c r="G322" s="5" t="s">
        <v>11</v>
      </c>
      <c r="H322" s="3" t="s">
        <v>531</v>
      </c>
    </row>
    <row r="323" spans="1:8" ht="27.6" x14ac:dyDescent="0.25">
      <c r="A323" s="3" t="s">
        <v>8</v>
      </c>
      <c r="B323" s="3" t="s">
        <v>535</v>
      </c>
      <c r="C323" s="4" t="str">
        <f>HYPERLINK("http://www.rncp.cncp.gouv.fr/grand-public/visualisationFiche?format=fr&amp;fiche=12528","12528")</f>
        <v>12528</v>
      </c>
      <c r="D323" s="4" t="str">
        <f>HYPERLINK("http://www.intercariforef.org/formations/certification-47592.html","47592")</f>
        <v>47592</v>
      </c>
      <c r="E323" s="5">
        <v>13601</v>
      </c>
      <c r="F323" s="5" t="s">
        <v>10</v>
      </c>
      <c r="G323" s="5" t="s">
        <v>11</v>
      </c>
      <c r="H323" s="3" t="s">
        <v>531</v>
      </c>
    </row>
    <row r="324" spans="1:8" ht="27.6" x14ac:dyDescent="0.25">
      <c r="A324" s="3" t="s">
        <v>8</v>
      </c>
      <c r="B324" s="3" t="s">
        <v>536</v>
      </c>
      <c r="C324" s="4" t="str">
        <f>HYPERLINK("http://www.rncp.cncp.gouv.fr/grand-public/visualisationFiche?format=fr&amp;fiche=17241","17241")</f>
        <v>17241</v>
      </c>
      <c r="D324" s="4" t="str">
        <f>HYPERLINK("http://www.intercariforef.org/formations/certification-74675.html","74675")</f>
        <v>74675</v>
      </c>
      <c r="E324" s="5">
        <v>11972</v>
      </c>
      <c r="F324" s="5" t="s">
        <v>10</v>
      </c>
      <c r="G324" s="5" t="s">
        <v>11</v>
      </c>
      <c r="H324" s="3" t="s">
        <v>531</v>
      </c>
    </row>
    <row r="325" spans="1:8" ht="27.6" x14ac:dyDescent="0.25">
      <c r="A325" s="3" t="s">
        <v>8</v>
      </c>
      <c r="B325" s="3" t="s">
        <v>537</v>
      </c>
      <c r="C325" s="5"/>
      <c r="D325" s="4" t="str">
        <f>HYPERLINK("http://www.intercariforef.org/formations/certification-82518.html","82518")</f>
        <v>82518</v>
      </c>
      <c r="E325" s="5">
        <v>13607</v>
      </c>
      <c r="F325" s="5" t="s">
        <v>10</v>
      </c>
      <c r="G325" s="5" t="s">
        <v>11</v>
      </c>
      <c r="H325" s="3" t="s">
        <v>538</v>
      </c>
    </row>
    <row r="326" spans="1:8" ht="13.8" x14ac:dyDescent="0.25">
      <c r="A326" s="3" t="s">
        <v>8</v>
      </c>
      <c r="B326" s="3" t="s">
        <v>539</v>
      </c>
      <c r="C326" s="4" t="str">
        <f>HYPERLINK("http://www.rncp.cncp.gouv.fr/grand-public/visualisationFiche?format=fr&amp;fiche=12858","12858")</f>
        <v>12858</v>
      </c>
      <c r="D326" s="4" t="str">
        <f>HYPERLINK("http://www.intercariforef.org/formations/certification-60203.html","60203")</f>
        <v>60203</v>
      </c>
      <c r="E326" s="5">
        <v>13923</v>
      </c>
      <c r="F326" s="5" t="s">
        <v>10</v>
      </c>
      <c r="G326" s="5" t="s">
        <v>11</v>
      </c>
      <c r="H326" s="3" t="s">
        <v>538</v>
      </c>
    </row>
    <row r="327" spans="1:8" ht="13.8" x14ac:dyDescent="0.25">
      <c r="A327" s="3" t="s">
        <v>8</v>
      </c>
      <c r="B327" s="3" t="s">
        <v>540</v>
      </c>
      <c r="C327" s="4" t="str">
        <f>HYPERLINK("http://www.rncp.cncp.gouv.fr/grand-public/visualisationFiche?format=fr&amp;fiche=12854","12854")</f>
        <v>12854</v>
      </c>
      <c r="D327" s="4" t="str">
        <f>HYPERLINK("http://www.intercariforef.org/formations/certification-58971.html","58971")</f>
        <v>58971</v>
      </c>
      <c r="E327" s="5">
        <v>11703</v>
      </c>
      <c r="F327" s="5" t="s">
        <v>10</v>
      </c>
      <c r="G327" s="5" t="s">
        <v>11</v>
      </c>
      <c r="H327" s="3" t="s">
        <v>538</v>
      </c>
    </row>
    <row r="328" spans="1:8" ht="13.8" x14ac:dyDescent="0.25">
      <c r="A328" s="3" t="s">
        <v>8</v>
      </c>
      <c r="B328" s="3" t="s">
        <v>541</v>
      </c>
      <c r="C328" s="4" t="str">
        <f>HYPERLINK("http://www.rncp.cncp.gouv.fr/grand-public/visualisationFiche?format=fr&amp;fiche=12851","12851")</f>
        <v>12851</v>
      </c>
      <c r="D328" s="4" t="str">
        <f>HYPERLINK("http://www.intercariforef.org/formations/certification-60148.html","60148")</f>
        <v>60148</v>
      </c>
      <c r="E328" s="5">
        <v>13924</v>
      </c>
      <c r="F328" s="5" t="s">
        <v>10</v>
      </c>
      <c r="G328" s="5" t="s">
        <v>11</v>
      </c>
      <c r="H328" s="3" t="s">
        <v>538</v>
      </c>
    </row>
    <row r="329" spans="1:8" ht="13.8" x14ac:dyDescent="0.25">
      <c r="A329" s="3" t="s">
        <v>8</v>
      </c>
      <c r="B329" s="3" t="s">
        <v>542</v>
      </c>
      <c r="C329" s="4" t="str">
        <f>HYPERLINK("http://www.rncp.cncp.gouv.fr/grand-public/visualisationFiche?format=fr&amp;fiche=17018","17018")</f>
        <v>17018</v>
      </c>
      <c r="D329" s="4" t="str">
        <f>HYPERLINK("http://www.intercariforef.org/formations/certification-12848.html","12848")</f>
        <v>12848</v>
      </c>
      <c r="E329" s="5">
        <v>14023</v>
      </c>
      <c r="F329" s="5" t="s">
        <v>10</v>
      </c>
      <c r="G329" s="5" t="s">
        <v>11</v>
      </c>
      <c r="H329" s="3" t="s">
        <v>543</v>
      </c>
    </row>
    <row r="330" spans="1:8" ht="27.6" x14ac:dyDescent="0.25">
      <c r="A330" s="3" t="s">
        <v>8</v>
      </c>
      <c r="B330" s="3" t="s">
        <v>544</v>
      </c>
      <c r="C330" s="4" t="str">
        <f>HYPERLINK("http://www.rncp.cncp.gouv.fr/grand-public/visualisationFiche?format=fr&amp;fiche=16666","16666")</f>
        <v>16666</v>
      </c>
      <c r="D330" s="4" t="str">
        <f>HYPERLINK("http://www.intercariforef.org/formations/certification-47497.html","47497")</f>
        <v>47497</v>
      </c>
      <c r="E330" s="5">
        <v>11987</v>
      </c>
      <c r="F330" s="5" t="s">
        <v>10</v>
      </c>
      <c r="G330" s="5" t="s">
        <v>11</v>
      </c>
      <c r="H330" s="3" t="s">
        <v>545</v>
      </c>
    </row>
    <row r="331" spans="1:8" ht="13.8" x14ac:dyDescent="0.25">
      <c r="A331" s="3" t="s">
        <v>8</v>
      </c>
      <c r="B331" s="3" t="s">
        <v>546</v>
      </c>
      <c r="C331" s="4" t="str">
        <f>HYPERLINK("http://www.rncp.cncp.gouv.fr/grand-public/visualisationFiche?format=fr&amp;fiche=10980","10980")</f>
        <v>10980</v>
      </c>
      <c r="D331" s="4" t="str">
        <f>HYPERLINK("http://www.intercariforef.org/formations/certification-12711.html","12711")</f>
        <v>12711</v>
      </c>
      <c r="E331" s="5">
        <v>13939</v>
      </c>
      <c r="F331" s="5" t="s">
        <v>10</v>
      </c>
      <c r="G331" s="5" t="s">
        <v>11</v>
      </c>
      <c r="H331" s="3" t="s">
        <v>547</v>
      </c>
    </row>
    <row r="332" spans="1:8" ht="27.6" x14ac:dyDescent="0.25">
      <c r="A332" s="3" t="s">
        <v>8</v>
      </c>
      <c r="B332" s="3" t="s">
        <v>548</v>
      </c>
      <c r="C332" s="4" t="str">
        <f>HYPERLINK("http://www.rncp.cncp.gouv.fr/grand-public/visualisationFiche?format=fr&amp;fiche=22850","22850")</f>
        <v>22850</v>
      </c>
      <c r="D332" s="4" t="str">
        <f>HYPERLINK("http://www.intercariforef.org/formations/certification-77317.html","77317")</f>
        <v>77317</v>
      </c>
      <c r="E332" s="5">
        <v>145427</v>
      </c>
      <c r="F332" s="5" t="s">
        <v>10</v>
      </c>
      <c r="G332" s="5" t="s">
        <v>11</v>
      </c>
      <c r="H332" s="3" t="s">
        <v>549</v>
      </c>
    </row>
    <row r="333" spans="1:8" ht="27.6" x14ac:dyDescent="0.25">
      <c r="A333" s="3" t="s">
        <v>8</v>
      </c>
      <c r="B333" s="3" t="s">
        <v>550</v>
      </c>
      <c r="C333" s="4" t="str">
        <f>HYPERLINK("http://www.rncp.cncp.gouv.fr/grand-public/visualisationFiche?format=fr&amp;fiche=15345","15345")</f>
        <v>15345</v>
      </c>
      <c r="D333" s="4" t="str">
        <f>HYPERLINK("http://www.intercariforef.org/formations/certification-47792.html","47792")</f>
        <v>47792</v>
      </c>
      <c r="E333" s="5">
        <v>14026</v>
      </c>
      <c r="F333" s="5" t="s">
        <v>10</v>
      </c>
      <c r="G333" s="5" t="s">
        <v>11</v>
      </c>
      <c r="H333" s="3" t="s">
        <v>551</v>
      </c>
    </row>
    <row r="334" spans="1:8" ht="27.6" x14ac:dyDescent="0.25">
      <c r="A334" s="3" t="s">
        <v>8</v>
      </c>
      <c r="B334" s="3" t="s">
        <v>552</v>
      </c>
      <c r="C334" s="4" t="str">
        <f>HYPERLINK("http://www.rncp.cncp.gouv.fr/grand-public/visualisationFiche?format=fr&amp;fiche=17469","17469")</f>
        <v>17469</v>
      </c>
      <c r="D334" s="4" t="str">
        <f>HYPERLINK("http://www.intercariforef.org/formations/certification-82098.html","82098")</f>
        <v>82098</v>
      </c>
      <c r="E334" s="5">
        <v>14029</v>
      </c>
      <c r="F334" s="5" t="s">
        <v>10</v>
      </c>
      <c r="G334" s="5" t="s">
        <v>11</v>
      </c>
      <c r="H334" s="3" t="s">
        <v>553</v>
      </c>
    </row>
    <row r="335" spans="1:8" ht="13.8" x14ac:dyDescent="0.25">
      <c r="A335" s="3" t="s">
        <v>8</v>
      </c>
      <c r="B335" s="3" t="s">
        <v>554</v>
      </c>
      <c r="C335" s="4" t="str">
        <f>HYPERLINK("http://www.rncp.cncp.gouv.fr/grand-public/visualisationFiche?format=fr&amp;fiche=10849","10849")</f>
        <v>10849</v>
      </c>
      <c r="D335" s="4" t="str">
        <f>HYPERLINK("http://www.intercariforef.org/formations/certification-59065.html","59065")</f>
        <v>59065</v>
      </c>
      <c r="E335" s="5">
        <v>12051</v>
      </c>
      <c r="F335" s="5" t="s">
        <v>10</v>
      </c>
      <c r="G335" s="5" t="s">
        <v>11</v>
      </c>
      <c r="H335" s="3" t="s">
        <v>553</v>
      </c>
    </row>
    <row r="336" spans="1:8" ht="27.6" x14ac:dyDescent="0.25">
      <c r="A336" s="3" t="s">
        <v>8</v>
      </c>
      <c r="B336" s="3" t="s">
        <v>555</v>
      </c>
      <c r="C336" s="4" t="str">
        <f>HYPERLINK("http://www.rncp.cncp.gouv.fr/grand-public/visualisationFiche?format=fr&amp;fiche=2000","2000")</f>
        <v>2000</v>
      </c>
      <c r="D336" s="4" t="str">
        <f>HYPERLINK("http://www.intercariforef.org/formations/certification-66165.html","66165")</f>
        <v>66165</v>
      </c>
      <c r="E336" s="5">
        <v>145485</v>
      </c>
      <c r="F336" s="5" t="s">
        <v>10</v>
      </c>
      <c r="G336" s="5" t="s">
        <v>11</v>
      </c>
      <c r="H336" s="3" t="s">
        <v>556</v>
      </c>
    </row>
    <row r="337" spans="1:8" ht="27.6" x14ac:dyDescent="0.25">
      <c r="A337" s="3" t="s">
        <v>8</v>
      </c>
      <c r="B337" s="3" t="s">
        <v>557</v>
      </c>
      <c r="C337" s="4" t="str">
        <f>HYPERLINK("http://www.rncp.cncp.gouv.fr/grand-public/visualisationFiche?format=fr&amp;fiche=11230","11230")</f>
        <v>11230</v>
      </c>
      <c r="D337" s="4" t="str">
        <f>HYPERLINK("http://www.intercariforef.org/formations/certification-66178.html","66178")</f>
        <v>66178</v>
      </c>
      <c r="E337" s="5">
        <v>13930</v>
      </c>
      <c r="F337" s="5" t="s">
        <v>10</v>
      </c>
      <c r="G337" s="5" t="s">
        <v>11</v>
      </c>
      <c r="H337" s="3" t="s">
        <v>558</v>
      </c>
    </row>
    <row r="338" spans="1:8" ht="27.6" x14ac:dyDescent="0.25">
      <c r="A338" s="3" t="s">
        <v>8</v>
      </c>
      <c r="B338" s="3" t="s">
        <v>559</v>
      </c>
      <c r="C338" s="4" t="str">
        <f>HYPERLINK("http://www.rncp.cncp.gouv.fr/grand-public/visualisationFiche?format=fr&amp;fiche=19687","19687")</f>
        <v>19687</v>
      </c>
      <c r="D338" s="4" t="str">
        <f>HYPERLINK("http://www.intercariforef.org/formations/certification-54997.html","54997")</f>
        <v>54997</v>
      </c>
      <c r="E338" s="5">
        <v>145486</v>
      </c>
      <c r="F338" s="5" t="s">
        <v>10</v>
      </c>
      <c r="G338" s="5" t="s">
        <v>11</v>
      </c>
      <c r="H338" s="3" t="s">
        <v>560</v>
      </c>
    </row>
    <row r="339" spans="1:8" ht="27.6" x14ac:dyDescent="0.25">
      <c r="A339" s="3" t="s">
        <v>8</v>
      </c>
      <c r="B339" s="3" t="s">
        <v>561</v>
      </c>
      <c r="C339" s="4" t="str">
        <f>HYPERLINK("http://www.rncp.cncp.gouv.fr/grand-public/visualisationFiche?format=fr&amp;fiche=19725","19725")</f>
        <v>19725</v>
      </c>
      <c r="D339" s="4" t="str">
        <f>HYPERLINK("http://www.intercariforef.org/formations/certification-13206.html","13206")</f>
        <v>13206</v>
      </c>
      <c r="E339" s="5">
        <v>14009</v>
      </c>
      <c r="F339" s="5" t="s">
        <v>10</v>
      </c>
      <c r="G339" s="5" t="s">
        <v>11</v>
      </c>
      <c r="H339" s="3" t="s">
        <v>560</v>
      </c>
    </row>
    <row r="340" spans="1:8" ht="27.6" x14ac:dyDescent="0.25">
      <c r="A340" s="3" t="s">
        <v>8</v>
      </c>
      <c r="B340" s="3" t="s">
        <v>562</v>
      </c>
      <c r="C340" s="5"/>
      <c r="D340" s="4" t="str">
        <f>HYPERLINK("http://www.intercariforef.org/formations/certification-81132.html","81132")</f>
        <v>81132</v>
      </c>
      <c r="E340" s="5">
        <v>145515</v>
      </c>
      <c r="F340" s="5" t="s">
        <v>10</v>
      </c>
      <c r="G340" s="5" t="s">
        <v>11</v>
      </c>
      <c r="H340" s="3" t="s">
        <v>563</v>
      </c>
    </row>
    <row r="341" spans="1:8" ht="27.6" x14ac:dyDescent="0.25">
      <c r="A341" s="3" t="s">
        <v>8</v>
      </c>
      <c r="B341" s="3" t="s">
        <v>564</v>
      </c>
      <c r="C341" s="5"/>
      <c r="D341" s="4" t="str">
        <f>HYPERLINK("http://www.intercariforef.org/formations/certification-80028.html","80028")</f>
        <v>80028</v>
      </c>
      <c r="E341" s="5">
        <v>145425</v>
      </c>
      <c r="F341" s="5" t="s">
        <v>10</v>
      </c>
      <c r="G341" s="5" t="s">
        <v>11</v>
      </c>
      <c r="H341" s="3" t="s">
        <v>565</v>
      </c>
    </row>
    <row r="342" spans="1:8" ht="13.8" x14ac:dyDescent="0.25">
      <c r="A342" s="3" t="s">
        <v>8</v>
      </c>
      <c r="B342" s="3" t="s">
        <v>566</v>
      </c>
      <c r="C342" s="4" t="str">
        <f>HYPERLINK("http://www.rncp.cncp.gouv.fr/grand-public/visualisationFiche?format=fr&amp;fiche=4139","4139")</f>
        <v>4139</v>
      </c>
      <c r="D342" s="4" t="str">
        <f>HYPERLINK("http://www.intercariforef.org/formations/certification-59480.html","59480")</f>
        <v>59480</v>
      </c>
      <c r="E342" s="5">
        <v>12419</v>
      </c>
      <c r="F342" s="5" t="s">
        <v>10</v>
      </c>
      <c r="G342" s="5" t="s">
        <v>11</v>
      </c>
      <c r="H342" s="3" t="s">
        <v>567</v>
      </c>
    </row>
    <row r="343" spans="1:8" ht="27.6" x14ac:dyDescent="0.25">
      <c r="A343" s="3" t="s">
        <v>8</v>
      </c>
      <c r="B343" s="3" t="s">
        <v>568</v>
      </c>
      <c r="C343" s="4" t="str">
        <f>HYPERLINK("http://www.rncp.cncp.gouv.fr/grand-public/visualisationFiche?format=fr&amp;fiche=16394","16394")</f>
        <v>16394</v>
      </c>
      <c r="D343" s="4" t="str">
        <f>HYPERLINK("http://www.intercariforef.org/formations/certification-80071.html","80071")</f>
        <v>80071</v>
      </c>
      <c r="E343" s="5">
        <v>11723</v>
      </c>
      <c r="F343" s="5" t="s">
        <v>10</v>
      </c>
      <c r="G343" s="5" t="s">
        <v>11</v>
      </c>
      <c r="H343" s="3" t="s">
        <v>569</v>
      </c>
    </row>
    <row r="344" spans="1:8" ht="27.6" x14ac:dyDescent="0.25">
      <c r="A344" s="3" t="s">
        <v>8</v>
      </c>
      <c r="B344" s="3" t="s">
        <v>570</v>
      </c>
      <c r="C344" s="4" t="str">
        <f>HYPERLINK("http://www.rncp.cncp.gouv.fr/grand-public/visualisationFiche?format=fr&amp;fiche=9269","9269")</f>
        <v>9269</v>
      </c>
      <c r="D344" s="4" t="str">
        <f>HYPERLINK("http://www.intercariforef.org/formations/certification-82546.html","82546")</f>
        <v>82546</v>
      </c>
      <c r="E344" s="5">
        <v>146875</v>
      </c>
      <c r="F344" s="5" t="s">
        <v>10</v>
      </c>
      <c r="G344" s="5" t="s">
        <v>11</v>
      </c>
      <c r="H344" s="3" t="s">
        <v>571</v>
      </c>
    </row>
    <row r="345" spans="1:8" ht="27.6" x14ac:dyDescent="0.25">
      <c r="A345" s="3" t="s">
        <v>8</v>
      </c>
      <c r="B345" s="3" t="s">
        <v>572</v>
      </c>
      <c r="C345" s="4" t="str">
        <f>HYPERLINK("http://www.rncp.cncp.gouv.fr/grand-public/visualisationFiche?format=fr&amp;fiche=16694","16694")</f>
        <v>16694</v>
      </c>
      <c r="D345" s="4" t="str">
        <f>HYPERLINK("http://www.intercariforef.org/formations/certification-59024.html","59024")</f>
        <v>59024</v>
      </c>
      <c r="E345" s="5">
        <v>13990</v>
      </c>
      <c r="F345" s="5" t="s">
        <v>10</v>
      </c>
      <c r="G345" s="5" t="s">
        <v>11</v>
      </c>
      <c r="H345" s="3" t="s">
        <v>573</v>
      </c>
    </row>
    <row r="346" spans="1:8" ht="27.6" x14ac:dyDescent="0.25">
      <c r="A346" s="3" t="s">
        <v>8</v>
      </c>
      <c r="B346" s="3" t="s">
        <v>574</v>
      </c>
      <c r="C346" s="4" t="str">
        <f>HYPERLINK("http://www.rncp.cncp.gouv.fr/grand-public/visualisationFiche?format=fr&amp;fiche=13930","13930")</f>
        <v>13930</v>
      </c>
      <c r="D346" s="4" t="str">
        <f>HYPERLINK("http://www.intercariforef.org/formations/certification-49928.html","49928")</f>
        <v>49928</v>
      </c>
      <c r="E346" s="5">
        <v>13572</v>
      </c>
      <c r="F346" s="5" t="s">
        <v>10</v>
      </c>
      <c r="G346" s="5" t="s">
        <v>11</v>
      </c>
      <c r="H346" s="3" t="s">
        <v>575</v>
      </c>
    </row>
    <row r="347" spans="1:8" ht="27.6" x14ac:dyDescent="0.25">
      <c r="A347" s="3" t="s">
        <v>8</v>
      </c>
      <c r="B347" s="3" t="s">
        <v>576</v>
      </c>
      <c r="C347" s="4" t="str">
        <f>HYPERLINK("http://www.rncp.cncp.gouv.fr/grand-public/visualisationFiche?format=fr&amp;fiche=13893","13893")</f>
        <v>13893</v>
      </c>
      <c r="D347" s="4" t="str">
        <f>HYPERLINK("http://www.intercariforef.org/formations/certification-47462.html","47462")</f>
        <v>47462</v>
      </c>
      <c r="E347" s="5">
        <v>13571</v>
      </c>
      <c r="F347" s="5" t="s">
        <v>10</v>
      </c>
      <c r="G347" s="5" t="s">
        <v>11</v>
      </c>
      <c r="H347" s="3" t="s">
        <v>575</v>
      </c>
    </row>
    <row r="348" spans="1:8" ht="27.6" x14ac:dyDescent="0.25">
      <c r="A348" s="3" t="s">
        <v>8</v>
      </c>
      <c r="B348" s="3" t="s">
        <v>577</v>
      </c>
      <c r="C348" s="4" t="str">
        <f>HYPERLINK("http://www.rncp.cncp.gouv.fr/grand-public/visualisationFiche?format=fr&amp;fiche=16400","16400")</f>
        <v>16400</v>
      </c>
      <c r="D348" s="4" t="str">
        <f>HYPERLINK("http://www.intercariforef.org/formations/certification-80073.html","80073")</f>
        <v>80073</v>
      </c>
      <c r="E348" s="5">
        <v>12894</v>
      </c>
      <c r="F348" s="5" t="s">
        <v>10</v>
      </c>
      <c r="G348" s="5" t="s">
        <v>11</v>
      </c>
      <c r="H348" s="3" t="s">
        <v>569</v>
      </c>
    </row>
    <row r="349" spans="1:8" ht="13.8" x14ac:dyDescent="0.25">
      <c r="A349" s="3" t="s">
        <v>8</v>
      </c>
      <c r="B349" s="3" t="s">
        <v>578</v>
      </c>
      <c r="C349" s="4" t="str">
        <f>HYPERLINK("http://www.rncp.cncp.gouv.fr/grand-public/visualisationFiche?format=fr&amp;fiche=15367","15367")</f>
        <v>15367</v>
      </c>
      <c r="D349" s="4" t="str">
        <f>HYPERLINK("http://www.intercariforef.org/formations/certification-79021.html","79021")</f>
        <v>79021</v>
      </c>
      <c r="E349" s="5">
        <v>9627</v>
      </c>
      <c r="F349" s="5" t="s">
        <v>10</v>
      </c>
      <c r="G349" s="5" t="s">
        <v>11</v>
      </c>
      <c r="H349" s="3" t="s">
        <v>102</v>
      </c>
    </row>
    <row r="350" spans="1:8" ht="13.8" x14ac:dyDescent="0.25">
      <c r="A350" s="3" t="s">
        <v>8</v>
      </c>
      <c r="B350" s="3" t="s">
        <v>579</v>
      </c>
      <c r="C350" s="4" t="str">
        <f>HYPERLINK("http://www.rncp.cncp.gouv.fr/grand-public/visualisationFiche?format=fr&amp;fiche=12355","12355")</f>
        <v>12355</v>
      </c>
      <c r="D350" s="4" t="str">
        <f>HYPERLINK("http://www.intercariforef.org/formations/certification-74822.html","74822")</f>
        <v>74822</v>
      </c>
      <c r="E350" s="5">
        <v>9674</v>
      </c>
      <c r="F350" s="5" t="s">
        <v>10</v>
      </c>
      <c r="G350" s="5" t="s">
        <v>11</v>
      </c>
      <c r="H350" s="3" t="s">
        <v>98</v>
      </c>
    </row>
    <row r="351" spans="1:8" ht="13.8" x14ac:dyDescent="0.25">
      <c r="A351" s="3" t="s">
        <v>8</v>
      </c>
      <c r="B351" s="3" t="s">
        <v>580</v>
      </c>
      <c r="C351" s="4" t="str">
        <f>HYPERLINK("http://www.rncp.cncp.gouv.fr/grand-public/visualisationFiche?format=fr&amp;fiche=7444","7444")</f>
        <v>7444</v>
      </c>
      <c r="D351" s="4" t="str">
        <f>HYPERLINK("http://www.intercariforef.org/formations/certification-63715.html","63715")</f>
        <v>63715</v>
      </c>
      <c r="E351" s="5">
        <v>9676</v>
      </c>
      <c r="F351" s="5" t="s">
        <v>10</v>
      </c>
      <c r="G351" s="5" t="s">
        <v>11</v>
      </c>
      <c r="H351" s="3" t="s">
        <v>581</v>
      </c>
    </row>
    <row r="352" spans="1:8" ht="27.6" x14ac:dyDescent="0.25">
      <c r="A352" s="3" t="s">
        <v>8</v>
      </c>
      <c r="B352" s="3" t="s">
        <v>582</v>
      </c>
      <c r="C352" s="4" t="str">
        <f>HYPERLINK("http://www.rncp.cncp.gouv.fr/grand-public/visualisationFiche?format=fr&amp;fiche=14883","14883")</f>
        <v>14883</v>
      </c>
      <c r="D352" s="4" t="str">
        <f>HYPERLINK("http://www.intercariforef.org/formations/certification-77508.html","77508")</f>
        <v>77508</v>
      </c>
      <c r="E352" s="5">
        <v>9680</v>
      </c>
      <c r="F352" s="5" t="s">
        <v>10</v>
      </c>
      <c r="G352" s="5" t="s">
        <v>11</v>
      </c>
      <c r="H352" s="3" t="s">
        <v>583</v>
      </c>
    </row>
    <row r="353" spans="1:8" ht="27.6" x14ac:dyDescent="0.25">
      <c r="A353" s="3" t="s">
        <v>8</v>
      </c>
      <c r="B353" s="3" t="s">
        <v>584</v>
      </c>
      <c r="C353" s="4" t="str">
        <f>HYPERLINK("http://www.rncp.cncp.gouv.fr/grand-public/visualisationFiche?format=fr&amp;fiche=19418","19418")</f>
        <v>19418</v>
      </c>
      <c r="D353" s="4" t="str">
        <f>HYPERLINK("http://www.intercariforef.org/formations/certification-83381.html","83381")</f>
        <v>83381</v>
      </c>
      <c r="E353" s="5">
        <v>9682</v>
      </c>
      <c r="F353" s="5" t="s">
        <v>10</v>
      </c>
      <c r="G353" s="5" t="s">
        <v>11</v>
      </c>
      <c r="H353" s="3" t="s">
        <v>585</v>
      </c>
    </row>
    <row r="354" spans="1:8" ht="13.8" x14ac:dyDescent="0.25">
      <c r="A354" s="3" t="s">
        <v>8</v>
      </c>
      <c r="B354" s="3" t="s">
        <v>586</v>
      </c>
      <c r="C354" s="4" t="str">
        <f>HYPERLINK("http://www.rncp.cncp.gouv.fr/grand-public/visualisationFiche?format=fr&amp;fiche=17837","17837")</f>
        <v>17837</v>
      </c>
      <c r="D354" s="4" t="str">
        <f>HYPERLINK("http://www.intercariforef.org/formations/certification-82287.html","82287")</f>
        <v>82287</v>
      </c>
      <c r="E354" s="5">
        <v>9684</v>
      </c>
      <c r="F354" s="5" t="s">
        <v>10</v>
      </c>
      <c r="G354" s="5" t="s">
        <v>11</v>
      </c>
      <c r="H354" s="3" t="s">
        <v>12</v>
      </c>
    </row>
    <row r="355" spans="1:8" ht="13.8" x14ac:dyDescent="0.25">
      <c r="A355" s="3" t="s">
        <v>8</v>
      </c>
      <c r="B355" s="3" t="s">
        <v>587</v>
      </c>
      <c r="C355" s="4" t="str">
        <f>HYPERLINK("http://www.rncp.cncp.gouv.fr/grand-public/visualisationFiche?format=fr&amp;fiche=19223","19223")</f>
        <v>19223</v>
      </c>
      <c r="D355" s="4" t="str">
        <f>HYPERLINK("http://www.intercariforef.org/formations/certification-83191.html","83191")</f>
        <v>83191</v>
      </c>
      <c r="E355" s="5">
        <v>9685</v>
      </c>
      <c r="F355" s="5" t="s">
        <v>10</v>
      </c>
      <c r="G355" s="5" t="s">
        <v>11</v>
      </c>
      <c r="H355" s="3" t="s">
        <v>12</v>
      </c>
    </row>
    <row r="356" spans="1:8" ht="27.6" x14ac:dyDescent="0.25">
      <c r="A356" s="3" t="s">
        <v>8</v>
      </c>
      <c r="B356" s="3" t="s">
        <v>588</v>
      </c>
      <c r="C356" s="4" t="str">
        <f>HYPERLINK("http://www.rncp.cncp.gouv.fr/grand-public/visualisationFiche?format=fr&amp;fiche=16261","16261")</f>
        <v>16261</v>
      </c>
      <c r="D356" s="4" t="str">
        <f>HYPERLINK("http://www.intercariforef.org/formations/certification-80784.html","80784")</f>
        <v>80784</v>
      </c>
      <c r="E356" s="5">
        <v>9689</v>
      </c>
      <c r="F356" s="5" t="s">
        <v>10</v>
      </c>
      <c r="G356" s="5" t="s">
        <v>11</v>
      </c>
      <c r="H356" s="3" t="s">
        <v>589</v>
      </c>
    </row>
    <row r="357" spans="1:8" ht="13.8" x14ac:dyDescent="0.25">
      <c r="A357" s="3" t="s">
        <v>8</v>
      </c>
      <c r="B357" s="3" t="s">
        <v>590</v>
      </c>
      <c r="C357" s="4" t="str">
        <f>HYPERLINK("http://www.rncp.cncp.gouv.fr/grand-public/visualisationFiche?format=fr&amp;fiche=5747","5747")</f>
        <v>5747</v>
      </c>
      <c r="D357" s="4" t="str">
        <f>HYPERLINK("http://www.intercariforef.org/formations/certification-58074.html","58074")</f>
        <v>58074</v>
      </c>
      <c r="E357" s="5">
        <v>9691</v>
      </c>
      <c r="F357" s="5" t="s">
        <v>10</v>
      </c>
      <c r="G357" s="5" t="s">
        <v>11</v>
      </c>
      <c r="H357" s="3" t="s">
        <v>591</v>
      </c>
    </row>
    <row r="358" spans="1:8" ht="27.6" x14ac:dyDescent="0.25">
      <c r="A358" s="3" t="s">
        <v>8</v>
      </c>
      <c r="B358" s="3" t="s">
        <v>592</v>
      </c>
      <c r="C358" s="4" t="str">
        <f>HYPERLINK("http://www.rncp.cncp.gouv.fr/grand-public/visualisationFiche?format=fr&amp;fiche=19182","19182")</f>
        <v>19182</v>
      </c>
      <c r="D358" s="4" t="str">
        <f>HYPERLINK("http://www.intercariforef.org/formations/certification-83203.html","83203")</f>
        <v>83203</v>
      </c>
      <c r="E358" s="5">
        <v>145516</v>
      </c>
      <c r="F358" s="5" t="s">
        <v>10</v>
      </c>
      <c r="G358" s="5" t="s">
        <v>11</v>
      </c>
      <c r="H358" s="3" t="s">
        <v>282</v>
      </c>
    </row>
    <row r="359" spans="1:8" ht="13.8" x14ac:dyDescent="0.25">
      <c r="A359" s="3" t="s">
        <v>8</v>
      </c>
      <c r="B359" s="3" t="s">
        <v>593</v>
      </c>
      <c r="C359" s="4" t="str">
        <f>HYPERLINK("http://www.rncp.cncp.gouv.fr/grand-public/visualisationFiche?format=fr&amp;fiche=11932","11932")</f>
        <v>11932</v>
      </c>
      <c r="D359" s="4" t="str">
        <f>HYPERLINK("http://www.intercariforef.org/formations/certification-73812.html","73812")</f>
        <v>73812</v>
      </c>
      <c r="E359" s="5">
        <v>9692</v>
      </c>
      <c r="F359" s="5" t="s">
        <v>10</v>
      </c>
      <c r="G359" s="5" t="s">
        <v>11</v>
      </c>
      <c r="H359" s="3" t="s">
        <v>34</v>
      </c>
    </row>
    <row r="360" spans="1:8" ht="13.8" x14ac:dyDescent="0.25">
      <c r="A360" s="3" t="s">
        <v>8</v>
      </c>
      <c r="B360" s="3" t="s">
        <v>594</v>
      </c>
      <c r="C360" s="4" t="str">
        <f>HYPERLINK("http://www.rncp.cncp.gouv.fr/grand-public/visualisationFiche?format=fr&amp;fiche=18023","18023")</f>
        <v>18023</v>
      </c>
      <c r="D360" s="4" t="str">
        <f>HYPERLINK("http://www.intercariforef.org/formations/certification-76227.html","76227")</f>
        <v>76227</v>
      </c>
      <c r="E360" s="5">
        <v>9693</v>
      </c>
      <c r="F360" s="5" t="s">
        <v>10</v>
      </c>
      <c r="G360" s="5" t="s">
        <v>11</v>
      </c>
      <c r="H360" s="3" t="s">
        <v>116</v>
      </c>
    </row>
    <row r="361" spans="1:8" ht="13.8" x14ac:dyDescent="0.25">
      <c r="A361" s="3" t="s">
        <v>8</v>
      </c>
      <c r="B361" s="3" t="s">
        <v>595</v>
      </c>
      <c r="C361" s="4" t="str">
        <f>HYPERLINK("http://www.rncp.cncp.gouv.fr/grand-public/visualisationFiche?format=fr&amp;fiche=11936","11936")</f>
        <v>11936</v>
      </c>
      <c r="D361" s="4" t="str">
        <f>HYPERLINK("http://www.intercariforef.org/formations/certification-73797.html","73797")</f>
        <v>73797</v>
      </c>
      <c r="E361" s="5">
        <v>9696</v>
      </c>
      <c r="F361" s="5" t="s">
        <v>10</v>
      </c>
      <c r="G361" s="5" t="s">
        <v>11</v>
      </c>
      <c r="H361" s="3" t="s">
        <v>104</v>
      </c>
    </row>
    <row r="362" spans="1:8" ht="27.6" x14ac:dyDescent="0.25">
      <c r="A362" s="3" t="s">
        <v>8</v>
      </c>
      <c r="B362" s="3" t="s">
        <v>596</v>
      </c>
      <c r="C362" s="4" t="str">
        <f>HYPERLINK("http://www.rncp.cncp.gouv.fr/grand-public/visualisationFiche?format=fr&amp;fiche=13012","13012")</f>
        <v>13012</v>
      </c>
      <c r="D362" s="4" t="str">
        <f>HYPERLINK("http://www.intercariforef.org/formations/certification-76219.html","76219")</f>
        <v>76219</v>
      </c>
      <c r="E362" s="5">
        <v>9697</v>
      </c>
      <c r="F362" s="5" t="s">
        <v>10</v>
      </c>
      <c r="G362" s="5" t="s">
        <v>11</v>
      </c>
      <c r="H362" s="3" t="s">
        <v>597</v>
      </c>
    </row>
    <row r="363" spans="1:8" ht="13.8" x14ac:dyDescent="0.25">
      <c r="A363" s="3" t="s">
        <v>8</v>
      </c>
      <c r="B363" s="3" t="s">
        <v>598</v>
      </c>
      <c r="C363" s="4" t="str">
        <f>HYPERLINK("http://www.rncp.cncp.gouv.fr/grand-public/visualisationFiche?format=fr&amp;fiche=17265","17265")</f>
        <v>17265</v>
      </c>
      <c r="D363" s="4" t="str">
        <f>HYPERLINK("http://www.intercariforef.org/formations/certification-81563.html","81563")</f>
        <v>81563</v>
      </c>
      <c r="E363" s="5">
        <v>16053</v>
      </c>
      <c r="F363" s="5" t="s">
        <v>10</v>
      </c>
      <c r="G363" s="5" t="s">
        <v>11</v>
      </c>
      <c r="H363" s="3" t="s">
        <v>36</v>
      </c>
    </row>
    <row r="364" spans="1:8" ht="13.8" x14ac:dyDescent="0.25">
      <c r="A364" s="3" t="s">
        <v>8</v>
      </c>
      <c r="B364" s="3" t="s">
        <v>599</v>
      </c>
      <c r="C364" s="4" t="str">
        <f>HYPERLINK("http://www.rncp.cncp.gouv.fr/grand-public/visualisationFiche?format=fr&amp;fiche=18047","18047")</f>
        <v>18047</v>
      </c>
      <c r="D364" s="4" t="str">
        <f>HYPERLINK("http://www.intercariforef.org/formations/certification-65651.html","65651")</f>
        <v>65651</v>
      </c>
      <c r="E364" s="5">
        <v>9707</v>
      </c>
      <c r="F364" s="5" t="s">
        <v>10</v>
      </c>
      <c r="G364" s="5" t="s">
        <v>11</v>
      </c>
      <c r="H364" s="3" t="s">
        <v>600</v>
      </c>
    </row>
    <row r="365" spans="1:8" ht="13.8" x14ac:dyDescent="0.25">
      <c r="A365" s="3" t="s">
        <v>8</v>
      </c>
      <c r="B365" s="3" t="s">
        <v>601</v>
      </c>
      <c r="C365" s="4" t="str">
        <f>HYPERLINK("http://www.rncp.cncp.gouv.fr/grand-public/visualisationFiche?format=fr&amp;fiche=13092","13092")</f>
        <v>13092</v>
      </c>
      <c r="D365" s="4" t="str">
        <f>HYPERLINK("http://www.intercariforef.org/formations/certification-75955.html","75955")</f>
        <v>75955</v>
      </c>
      <c r="E365" s="5">
        <v>9708</v>
      </c>
      <c r="F365" s="5" t="s">
        <v>10</v>
      </c>
      <c r="G365" s="5" t="s">
        <v>11</v>
      </c>
      <c r="H365" s="3" t="s">
        <v>602</v>
      </c>
    </row>
    <row r="366" spans="1:8" ht="13.8" x14ac:dyDescent="0.25">
      <c r="A366" s="3" t="s">
        <v>8</v>
      </c>
      <c r="B366" s="3" t="s">
        <v>603</v>
      </c>
      <c r="C366" s="4" t="str">
        <f>HYPERLINK("http://www.rncp.cncp.gouv.fr/grand-public/visualisationFiche?format=fr&amp;fiche=17272","17272")</f>
        <v>17272</v>
      </c>
      <c r="D366" s="4" t="str">
        <f>HYPERLINK("http://www.intercariforef.org/formations/certification-81576.html","81576")</f>
        <v>81576</v>
      </c>
      <c r="E366" s="5">
        <v>9717</v>
      </c>
      <c r="F366" s="5" t="s">
        <v>10</v>
      </c>
      <c r="G366" s="5" t="s">
        <v>11</v>
      </c>
      <c r="H366" s="3" t="s">
        <v>107</v>
      </c>
    </row>
    <row r="367" spans="1:8" ht="13.8" x14ac:dyDescent="0.25">
      <c r="A367" s="3" t="s">
        <v>8</v>
      </c>
      <c r="B367" s="3" t="s">
        <v>604</v>
      </c>
      <c r="C367" s="4" t="str">
        <f>HYPERLINK("http://www.rncp.cncp.gouv.fr/grand-public/visualisationFiche?format=fr&amp;fiche=18027","18027")</f>
        <v>18027</v>
      </c>
      <c r="D367" s="4" t="str">
        <f>HYPERLINK("http://www.intercariforef.org/formations/certification-53223.html","53223")</f>
        <v>53223</v>
      </c>
      <c r="E367" s="5">
        <v>9719</v>
      </c>
      <c r="F367" s="5" t="s">
        <v>10</v>
      </c>
      <c r="G367" s="5" t="s">
        <v>11</v>
      </c>
      <c r="H367" s="3" t="s">
        <v>116</v>
      </c>
    </row>
    <row r="368" spans="1:8" ht="13.8" x14ac:dyDescent="0.25">
      <c r="A368" s="3" t="s">
        <v>8</v>
      </c>
      <c r="B368" s="3" t="s">
        <v>605</v>
      </c>
      <c r="C368" s="4" t="str">
        <f>HYPERLINK("http://www.rncp.cncp.gouv.fr/grand-public/visualisationFiche?format=fr&amp;fiche=5475","5475")</f>
        <v>5475</v>
      </c>
      <c r="D368" s="4" t="str">
        <f>HYPERLINK("http://www.intercariforef.org/formations/certification-60141.html","60141")</f>
        <v>60141</v>
      </c>
      <c r="E368" s="5">
        <v>131765</v>
      </c>
      <c r="F368" s="5" t="s">
        <v>10</v>
      </c>
      <c r="G368" s="5" t="s">
        <v>11</v>
      </c>
      <c r="H368" s="3" t="s">
        <v>606</v>
      </c>
    </row>
    <row r="369" spans="1:8" ht="13.8" x14ac:dyDescent="0.25">
      <c r="A369" s="3" t="s">
        <v>8</v>
      </c>
      <c r="B369" s="3" t="s">
        <v>607</v>
      </c>
      <c r="C369" s="4" t="str">
        <f>HYPERLINK("http://www.rncp.cncp.gouv.fr/grand-public/visualisationFiche?format=fr&amp;fiche=11553","11553")</f>
        <v>11553</v>
      </c>
      <c r="D369" s="4" t="str">
        <f>HYPERLINK("http://www.intercariforef.org/formations/certification-72732.html","72732")</f>
        <v>72732</v>
      </c>
      <c r="E369" s="5">
        <v>9720</v>
      </c>
      <c r="F369" s="5" t="s">
        <v>10</v>
      </c>
      <c r="G369" s="5" t="s">
        <v>11</v>
      </c>
      <c r="H369" s="3" t="s">
        <v>608</v>
      </c>
    </row>
    <row r="370" spans="1:8" ht="13.8" x14ac:dyDescent="0.25">
      <c r="A370" s="3" t="s">
        <v>8</v>
      </c>
      <c r="B370" s="3" t="s">
        <v>609</v>
      </c>
      <c r="C370" s="4" t="str">
        <f>HYPERLINK("http://www.rncp.cncp.gouv.fr/grand-public/visualisationFiche?format=fr&amp;fiche=17278","17278")</f>
        <v>17278</v>
      </c>
      <c r="D370" s="4" t="str">
        <f>HYPERLINK("http://www.intercariforef.org/formations/certification-81589.html","81589")</f>
        <v>81589</v>
      </c>
      <c r="E370" s="5">
        <v>9723</v>
      </c>
      <c r="F370" s="5" t="s">
        <v>10</v>
      </c>
      <c r="G370" s="5" t="s">
        <v>11</v>
      </c>
      <c r="H370" s="3" t="s">
        <v>42</v>
      </c>
    </row>
    <row r="371" spans="1:8" ht="13.8" x14ac:dyDescent="0.25">
      <c r="A371" s="3" t="s">
        <v>8</v>
      </c>
      <c r="B371" s="3" t="s">
        <v>610</v>
      </c>
      <c r="C371" s="4" t="str">
        <f>HYPERLINK("http://www.rncp.cncp.gouv.fr/grand-public/visualisationFiche?format=fr&amp;fiche=19244","19244")</f>
        <v>19244</v>
      </c>
      <c r="D371" s="4" t="str">
        <f>HYPERLINK("http://www.intercariforef.org/formations/certification-83173.html","83173")</f>
        <v>83173</v>
      </c>
      <c r="E371" s="5">
        <v>9725</v>
      </c>
      <c r="F371" s="5" t="s">
        <v>10</v>
      </c>
      <c r="G371" s="5" t="s">
        <v>11</v>
      </c>
      <c r="H371" s="3" t="s">
        <v>36</v>
      </c>
    </row>
    <row r="372" spans="1:8" ht="27.6" x14ac:dyDescent="0.25">
      <c r="A372" s="3" t="s">
        <v>8</v>
      </c>
      <c r="B372" s="3" t="s">
        <v>611</v>
      </c>
      <c r="C372" s="4" t="str">
        <f>HYPERLINK("http://www.rncp.cncp.gouv.fr/grand-public/visualisationFiche?format=fr&amp;fiche=23805","23805")</f>
        <v>23805</v>
      </c>
      <c r="D372" s="4" t="str">
        <f>HYPERLINK("http://www.intercariforef.org/formations/certification-77500.html","77500")</f>
        <v>77500</v>
      </c>
      <c r="E372" s="5">
        <v>9733</v>
      </c>
      <c r="F372" s="5" t="s">
        <v>10</v>
      </c>
      <c r="G372" s="5" t="s">
        <v>11</v>
      </c>
      <c r="H372" s="3" t="s">
        <v>585</v>
      </c>
    </row>
    <row r="373" spans="1:8" ht="27.6" x14ac:dyDescent="0.25">
      <c r="A373" s="3" t="s">
        <v>8</v>
      </c>
      <c r="B373" s="3" t="s">
        <v>612</v>
      </c>
      <c r="C373" s="4" t="str">
        <f>HYPERLINK("http://www.rncp.cncp.gouv.fr/grand-public/visualisationFiche?format=fr&amp;fiche=15963","15963")</f>
        <v>15963</v>
      </c>
      <c r="D373" s="4" t="str">
        <f>HYPERLINK("http://www.intercariforef.org/formations/certification-80502.html","80502")</f>
        <v>80502</v>
      </c>
      <c r="E373" s="5">
        <v>9734</v>
      </c>
      <c r="F373" s="5" t="s">
        <v>10</v>
      </c>
      <c r="G373" s="5" t="s">
        <v>11</v>
      </c>
      <c r="H373" s="3" t="s">
        <v>54</v>
      </c>
    </row>
    <row r="374" spans="1:8" ht="27.6" x14ac:dyDescent="0.25">
      <c r="A374" s="3" t="s">
        <v>8</v>
      </c>
      <c r="B374" s="3" t="s">
        <v>613</v>
      </c>
      <c r="C374" s="4" t="str">
        <f>HYPERLINK("http://www.rncp.cncp.gouv.fr/grand-public/visualisationFiche?format=fr&amp;fiche=18196","18196")</f>
        <v>18196</v>
      </c>
      <c r="D374" s="4" t="str">
        <f>HYPERLINK("http://www.intercariforef.org/formations/certification-82609.html","82609")</f>
        <v>82609</v>
      </c>
      <c r="E374" s="5">
        <v>9736</v>
      </c>
      <c r="F374" s="5" t="s">
        <v>10</v>
      </c>
      <c r="G374" s="5" t="s">
        <v>11</v>
      </c>
      <c r="H374" s="3" t="s">
        <v>614</v>
      </c>
    </row>
    <row r="375" spans="1:8" ht="13.8" x14ac:dyDescent="0.25">
      <c r="A375" s="3" t="s">
        <v>8</v>
      </c>
      <c r="B375" s="3" t="s">
        <v>615</v>
      </c>
      <c r="C375" s="4" t="str">
        <f>HYPERLINK("http://www.rncp.cncp.gouv.fr/grand-public/visualisationFiche?format=fr&amp;fiche=16638","16638")</f>
        <v>16638</v>
      </c>
      <c r="D375" s="4" t="str">
        <f>HYPERLINK("http://www.intercariforef.org/formations/certification-81098.html","81098")</f>
        <v>81098</v>
      </c>
      <c r="E375" s="5">
        <v>16055</v>
      </c>
      <c r="F375" s="5" t="s">
        <v>10</v>
      </c>
      <c r="G375" s="5" t="s">
        <v>11</v>
      </c>
      <c r="H375" s="3" t="s">
        <v>36</v>
      </c>
    </row>
    <row r="376" spans="1:8" ht="13.8" x14ac:dyDescent="0.25">
      <c r="A376" s="3" t="s">
        <v>8</v>
      </c>
      <c r="B376" s="3" t="s">
        <v>616</v>
      </c>
      <c r="C376" s="4" t="str">
        <f>HYPERLINK("http://www.rncp.cncp.gouv.fr/grand-public/visualisationFiche?format=fr&amp;fiche=12839","12839")</f>
        <v>12839</v>
      </c>
      <c r="D376" s="4" t="str">
        <f>HYPERLINK("http://www.intercariforef.org/formations/certification-75956.html","75956")</f>
        <v>75956</v>
      </c>
      <c r="E376" s="5">
        <v>9732</v>
      </c>
      <c r="F376" s="5" t="s">
        <v>10</v>
      </c>
      <c r="G376" s="5" t="s">
        <v>11</v>
      </c>
      <c r="H376" s="3" t="s">
        <v>617</v>
      </c>
    </row>
    <row r="377" spans="1:8" ht="13.8" x14ac:dyDescent="0.25">
      <c r="A377" s="3" t="s">
        <v>8</v>
      </c>
      <c r="B377" s="3" t="s">
        <v>618</v>
      </c>
      <c r="C377" s="4" t="str">
        <f>HYPERLINK("http://www.rncp.cncp.gouv.fr/grand-public/visualisationFiche?format=fr&amp;fiche=15799","15799")</f>
        <v>15799</v>
      </c>
      <c r="D377" s="4" t="str">
        <f>HYPERLINK("http://www.intercariforef.org/formations/certification-80522.html","80522")</f>
        <v>80522</v>
      </c>
      <c r="E377" s="5">
        <v>9735</v>
      </c>
      <c r="F377" s="5" t="s">
        <v>10</v>
      </c>
      <c r="G377" s="5" t="s">
        <v>11</v>
      </c>
      <c r="H377" s="3" t="s">
        <v>73</v>
      </c>
    </row>
    <row r="378" spans="1:8" ht="13.8" x14ac:dyDescent="0.25">
      <c r="A378" s="3" t="s">
        <v>8</v>
      </c>
      <c r="B378" s="3" t="s">
        <v>619</v>
      </c>
      <c r="C378" s="4" t="str">
        <f>HYPERLINK("http://www.rncp.cncp.gouv.fr/grand-public/visualisationFiche?format=fr&amp;fiche=23005","23005")</f>
        <v>23005</v>
      </c>
      <c r="D378" s="4" t="str">
        <f>HYPERLINK("http://www.intercariforef.org/formations/certification-76228.html","76228")</f>
        <v>76228</v>
      </c>
      <c r="E378" s="5">
        <v>9882</v>
      </c>
      <c r="F378" s="5" t="s">
        <v>10</v>
      </c>
      <c r="G378" s="5" t="s">
        <v>11</v>
      </c>
      <c r="H378" s="3" t="s">
        <v>116</v>
      </c>
    </row>
    <row r="379" spans="1:8" ht="13.8" x14ac:dyDescent="0.25">
      <c r="A379" s="3" t="s">
        <v>8</v>
      </c>
      <c r="B379" s="3" t="s">
        <v>620</v>
      </c>
      <c r="C379" s="4" t="str">
        <f>HYPERLINK("http://www.rncp.cncp.gouv.fr/grand-public/visualisationFiche?format=fr&amp;fiche=15055","15055")</f>
        <v>15055</v>
      </c>
      <c r="D379" s="4" t="str">
        <f>HYPERLINK("http://www.intercariforef.org/formations/certification-78878.html","78878")</f>
        <v>78878</v>
      </c>
      <c r="E379" s="5">
        <v>9886</v>
      </c>
      <c r="F379" s="5" t="s">
        <v>10</v>
      </c>
      <c r="G379" s="5" t="s">
        <v>11</v>
      </c>
      <c r="H379" s="3" t="s">
        <v>34</v>
      </c>
    </row>
    <row r="380" spans="1:8" ht="13.8" x14ac:dyDescent="0.25">
      <c r="A380" s="3" t="s">
        <v>8</v>
      </c>
      <c r="B380" s="3" t="s">
        <v>621</v>
      </c>
      <c r="C380" s="4" t="str">
        <f>HYPERLINK("http://www.rncp.cncp.gouv.fr/grand-public/visualisationFiche?format=fr&amp;fiche=19219","19219")</f>
        <v>19219</v>
      </c>
      <c r="D380" s="4" t="str">
        <f>HYPERLINK("http://www.intercariforef.org/formations/certification-60632.html","60632")</f>
        <v>60632</v>
      </c>
      <c r="E380" s="5">
        <v>9885</v>
      </c>
      <c r="F380" s="5" t="s">
        <v>10</v>
      </c>
      <c r="G380" s="5" t="s">
        <v>11</v>
      </c>
      <c r="H380" s="3" t="s">
        <v>622</v>
      </c>
    </row>
    <row r="381" spans="1:8" ht="13.8" x14ac:dyDescent="0.25">
      <c r="A381" s="3" t="s">
        <v>8</v>
      </c>
      <c r="B381" s="3" t="s">
        <v>623</v>
      </c>
      <c r="C381" s="4" t="str">
        <f>HYPERLINK("http://www.rncp.cncp.gouv.fr/grand-public/visualisationFiche?format=fr&amp;fiche=13081","13081")</f>
        <v>13081</v>
      </c>
      <c r="D381" s="4" t="str">
        <f>HYPERLINK("http://www.intercariforef.org/formations/certification-76230.html","76230")</f>
        <v>76230</v>
      </c>
      <c r="E381" s="5">
        <v>9884</v>
      </c>
      <c r="F381" s="5" t="s">
        <v>10</v>
      </c>
      <c r="G381" s="5" t="s">
        <v>11</v>
      </c>
      <c r="H381" s="3" t="s">
        <v>624</v>
      </c>
    </row>
    <row r="382" spans="1:8" ht="13.8" x14ac:dyDescent="0.25">
      <c r="A382" s="3" t="s">
        <v>8</v>
      </c>
      <c r="B382" s="3" t="s">
        <v>625</v>
      </c>
      <c r="C382" s="4" t="str">
        <f>HYPERLINK("http://www.rncp.cncp.gouv.fr/grand-public/visualisationFiche?format=fr&amp;fiche=12356","12356")</f>
        <v>12356</v>
      </c>
      <c r="D382" s="4" t="str">
        <f>HYPERLINK("http://www.intercariforef.org/formations/certification-74820.html","74820")</f>
        <v>74820</v>
      </c>
      <c r="E382" s="5">
        <v>131766</v>
      </c>
      <c r="F382" s="5" t="s">
        <v>10</v>
      </c>
      <c r="G382" s="5" t="s">
        <v>11</v>
      </c>
      <c r="H382" s="3" t="s">
        <v>34</v>
      </c>
    </row>
    <row r="383" spans="1:8" ht="13.8" x14ac:dyDescent="0.25">
      <c r="A383" s="3" t="s">
        <v>8</v>
      </c>
      <c r="B383" s="3" t="s">
        <v>626</v>
      </c>
      <c r="C383" s="4" t="str">
        <f>HYPERLINK("http://www.rncp.cncp.gouv.fr/grand-public/visualisationFiche?format=fr&amp;fiche=19372","19372")</f>
        <v>19372</v>
      </c>
      <c r="D383" s="4" t="str">
        <f>HYPERLINK("http://www.intercariforef.org/formations/certification-81362.html","81362")</f>
        <v>81362</v>
      </c>
      <c r="E383" s="5">
        <v>9895</v>
      </c>
      <c r="F383" s="5" t="s">
        <v>10</v>
      </c>
      <c r="G383" s="5" t="s">
        <v>11</v>
      </c>
      <c r="H383" s="3" t="s">
        <v>627</v>
      </c>
    </row>
    <row r="384" spans="1:8" ht="27.6" x14ac:dyDescent="0.25">
      <c r="A384" s="3" t="s">
        <v>8</v>
      </c>
      <c r="B384" s="3" t="s">
        <v>628</v>
      </c>
      <c r="C384" s="4" t="str">
        <f>HYPERLINK("http://www.rncp.cncp.gouv.fr/grand-public/visualisationFiche?format=fr&amp;fiche=16208","16208")</f>
        <v>16208</v>
      </c>
      <c r="D384" s="4" t="str">
        <f>HYPERLINK("http://www.intercariforef.org/formations/certification-80783.html","80783")</f>
        <v>80783</v>
      </c>
      <c r="E384" s="5">
        <v>9894</v>
      </c>
      <c r="F384" s="5" t="s">
        <v>10</v>
      </c>
      <c r="G384" s="5" t="s">
        <v>11</v>
      </c>
      <c r="H384" s="3" t="s">
        <v>629</v>
      </c>
    </row>
    <row r="385" spans="1:8" ht="13.8" x14ac:dyDescent="0.25">
      <c r="A385" s="3" t="s">
        <v>8</v>
      </c>
      <c r="B385" s="3" t="s">
        <v>630</v>
      </c>
      <c r="C385" s="4" t="str">
        <f>HYPERLINK("http://www.rncp.cncp.gouv.fr/grand-public/visualisationFiche?format=fr&amp;fiche=15800","15800")</f>
        <v>15800</v>
      </c>
      <c r="D385" s="4" t="str">
        <f>HYPERLINK("http://www.intercariforef.org/formations/certification-80506.html","80506")</f>
        <v>80506</v>
      </c>
      <c r="E385" s="5">
        <v>9893</v>
      </c>
      <c r="F385" s="5" t="s">
        <v>10</v>
      </c>
      <c r="G385" s="5" t="s">
        <v>11</v>
      </c>
      <c r="H385" s="3" t="s">
        <v>73</v>
      </c>
    </row>
    <row r="386" spans="1:8" ht="13.8" x14ac:dyDescent="0.25">
      <c r="A386" s="3" t="s">
        <v>8</v>
      </c>
      <c r="B386" s="3" t="s">
        <v>631</v>
      </c>
      <c r="C386" s="4" t="str">
        <f>HYPERLINK("http://www.rncp.cncp.gouv.fr/grand-public/visualisationFiche?format=fr&amp;fiche=12064","12064")</f>
        <v>12064</v>
      </c>
      <c r="D386" s="4" t="str">
        <f>HYPERLINK("http://www.intercariforef.org/formations/certification-73811.html","73811")</f>
        <v>73811</v>
      </c>
      <c r="E386" s="5">
        <v>9892</v>
      </c>
      <c r="F386" s="5" t="s">
        <v>10</v>
      </c>
      <c r="G386" s="5" t="s">
        <v>11</v>
      </c>
      <c r="H386" s="3" t="s">
        <v>632</v>
      </c>
    </row>
    <row r="387" spans="1:8" ht="27.6" x14ac:dyDescent="0.25">
      <c r="A387" s="3" t="s">
        <v>8</v>
      </c>
      <c r="B387" s="3" t="s">
        <v>633</v>
      </c>
      <c r="C387" s="4" t="str">
        <f>HYPERLINK("http://www.rncp.cncp.gouv.fr/grand-public/visualisationFiche?format=fr&amp;fiche=4826","4826")</f>
        <v>4826</v>
      </c>
      <c r="D387" s="4" t="str">
        <f>HYPERLINK("http://www.intercariforef.org/formations/certification-53295.html","53295")</f>
        <v>53295</v>
      </c>
      <c r="E387" s="5">
        <v>9890</v>
      </c>
      <c r="F387" s="5" t="s">
        <v>10</v>
      </c>
      <c r="G387" s="5" t="s">
        <v>11</v>
      </c>
      <c r="H387" s="3" t="s">
        <v>22</v>
      </c>
    </row>
    <row r="388" spans="1:8" ht="13.8" x14ac:dyDescent="0.25">
      <c r="A388" s="3" t="s">
        <v>8</v>
      </c>
      <c r="B388" s="3" t="s">
        <v>634</v>
      </c>
      <c r="C388" s="4" t="str">
        <f>HYPERLINK("http://www.rncp.cncp.gouv.fr/grand-public/visualisationFiche?format=fr&amp;fiche=6025","6025")</f>
        <v>6025</v>
      </c>
      <c r="D388" s="4" t="str">
        <f>HYPERLINK("http://www.intercariforef.org/formations/certification-59411.html","59411")</f>
        <v>59411</v>
      </c>
      <c r="E388" s="5">
        <v>9891</v>
      </c>
      <c r="F388" s="5" t="s">
        <v>10</v>
      </c>
      <c r="G388" s="5" t="s">
        <v>11</v>
      </c>
      <c r="H388" s="3" t="s">
        <v>591</v>
      </c>
    </row>
    <row r="389" spans="1:8" ht="27.6" x14ac:dyDescent="0.25">
      <c r="A389" s="3" t="s">
        <v>8</v>
      </c>
      <c r="B389" s="3" t="s">
        <v>635</v>
      </c>
      <c r="C389" s="4" t="str">
        <f>HYPERLINK("http://www.rncp.cncp.gouv.fr/grand-public/visualisationFiche?format=fr&amp;fiche=14631","14631")</f>
        <v>14631</v>
      </c>
      <c r="D389" s="4" t="str">
        <f>HYPERLINK("http://www.intercariforef.org/formations/certification-77492.html","77492")</f>
        <v>77492</v>
      </c>
      <c r="E389" s="5">
        <v>131767</v>
      </c>
      <c r="F389" s="5" t="s">
        <v>10</v>
      </c>
      <c r="G389" s="5" t="s">
        <v>11</v>
      </c>
      <c r="H389" s="3" t="s">
        <v>636</v>
      </c>
    </row>
    <row r="390" spans="1:8" ht="27.6" x14ac:dyDescent="0.25">
      <c r="A390" s="3" t="s">
        <v>8</v>
      </c>
      <c r="B390" s="3" t="s">
        <v>637</v>
      </c>
      <c r="C390" s="4" t="str">
        <f>HYPERLINK("http://www.rncp.cncp.gouv.fr/grand-public/visualisationFiche?format=fr&amp;fiche=14725","14725")</f>
        <v>14725</v>
      </c>
      <c r="D390" s="4" t="str">
        <f>HYPERLINK("http://www.intercariforef.org/formations/certification-77515.html","77515")</f>
        <v>77515</v>
      </c>
      <c r="E390" s="5">
        <v>9902</v>
      </c>
      <c r="F390" s="5" t="s">
        <v>10</v>
      </c>
      <c r="G390" s="5" t="s">
        <v>11</v>
      </c>
      <c r="H390" s="3" t="s">
        <v>638</v>
      </c>
    </row>
    <row r="391" spans="1:8" ht="13.8" x14ac:dyDescent="0.25">
      <c r="A391" s="3" t="s">
        <v>8</v>
      </c>
      <c r="B391" s="3" t="s">
        <v>639</v>
      </c>
      <c r="C391" s="4" t="str">
        <f>HYPERLINK("http://www.rncp.cncp.gouv.fr/grand-public/visualisationFiche?format=fr&amp;fiche=16212","16212")</f>
        <v>16212</v>
      </c>
      <c r="D391" s="4" t="str">
        <f>HYPERLINK("http://www.intercariforef.org/formations/certification-80786.html","80786")</f>
        <v>80786</v>
      </c>
      <c r="E391" s="5">
        <v>9905</v>
      </c>
      <c r="F391" s="5" t="s">
        <v>10</v>
      </c>
      <c r="G391" s="5" t="s">
        <v>11</v>
      </c>
      <c r="H391" s="3" t="s">
        <v>640</v>
      </c>
    </row>
    <row r="392" spans="1:8" ht="13.8" x14ac:dyDescent="0.25">
      <c r="A392" s="3" t="s">
        <v>8</v>
      </c>
      <c r="B392" s="3" t="s">
        <v>641</v>
      </c>
      <c r="C392" s="4" t="str">
        <f>HYPERLINK("http://www.rncp.cncp.gouv.fr/grand-public/visualisationFiche?format=fr&amp;fiche=14528","14528")</f>
        <v>14528</v>
      </c>
      <c r="D392" s="4" t="str">
        <f>HYPERLINK("http://www.intercariforef.org/formations/certification-77509.html","77509")</f>
        <v>77509</v>
      </c>
      <c r="E392" s="5">
        <v>9907</v>
      </c>
      <c r="F392" s="5" t="s">
        <v>10</v>
      </c>
      <c r="G392" s="5" t="s">
        <v>11</v>
      </c>
      <c r="H392" s="3" t="s">
        <v>642</v>
      </c>
    </row>
    <row r="393" spans="1:8" ht="27.6" x14ac:dyDescent="0.25">
      <c r="A393" s="3" t="s">
        <v>8</v>
      </c>
      <c r="B393" s="3" t="s">
        <v>643</v>
      </c>
      <c r="C393" s="4" t="str">
        <f>HYPERLINK("http://www.rncp.cncp.gouv.fr/grand-public/visualisationFiche?format=fr&amp;fiche=15053","15053")</f>
        <v>15053</v>
      </c>
      <c r="D393" s="4" t="str">
        <f>HYPERLINK("http://www.intercariforef.org/formations/certification-78874.html","78874")</f>
        <v>78874</v>
      </c>
      <c r="E393" s="5">
        <v>9910</v>
      </c>
      <c r="F393" s="5" t="s">
        <v>10</v>
      </c>
      <c r="G393" s="5" t="s">
        <v>11</v>
      </c>
      <c r="H393" s="3" t="s">
        <v>585</v>
      </c>
    </row>
    <row r="394" spans="1:8" ht="13.8" x14ac:dyDescent="0.25">
      <c r="A394" s="3" t="s">
        <v>8</v>
      </c>
      <c r="B394" s="3" t="s">
        <v>644</v>
      </c>
      <c r="C394" s="4" t="str">
        <f>HYPERLINK("http://www.rncp.cncp.gouv.fr/grand-public/visualisationFiche?format=fr&amp;fiche=15820","15820")</f>
        <v>15820</v>
      </c>
      <c r="D394" s="4" t="str">
        <f>HYPERLINK("http://www.intercariforef.org/formations/certification-79024.html","79024")</f>
        <v>79024</v>
      </c>
      <c r="E394" s="5">
        <v>9911</v>
      </c>
      <c r="F394" s="5" t="s">
        <v>10</v>
      </c>
      <c r="G394" s="5" t="s">
        <v>11</v>
      </c>
      <c r="H394" s="3" t="s">
        <v>645</v>
      </c>
    </row>
    <row r="395" spans="1:8" ht="13.8" x14ac:dyDescent="0.25">
      <c r="A395" s="3" t="s">
        <v>8</v>
      </c>
      <c r="B395" s="3" t="s">
        <v>646</v>
      </c>
      <c r="C395" s="4" t="str">
        <f>HYPERLINK("http://www.rncp.cncp.gouv.fr/grand-public/visualisationFiche?format=fr&amp;fiche=19444","19444")</f>
        <v>19444</v>
      </c>
      <c r="D395" s="4" t="str">
        <f>HYPERLINK("http://www.intercariforef.org/formations/certification-83372.html","83372")</f>
        <v>83372</v>
      </c>
      <c r="E395" s="5">
        <v>9913</v>
      </c>
      <c r="F395" s="5" t="s">
        <v>10</v>
      </c>
      <c r="G395" s="5" t="s">
        <v>11</v>
      </c>
      <c r="H395" s="3" t="s">
        <v>647</v>
      </c>
    </row>
    <row r="396" spans="1:8" ht="27.6" x14ac:dyDescent="0.25">
      <c r="A396" s="3" t="s">
        <v>8</v>
      </c>
      <c r="B396" s="3" t="s">
        <v>648</v>
      </c>
      <c r="C396" s="4" t="str">
        <f>HYPERLINK("http://www.rncp.cncp.gouv.fr/grand-public/visualisationFiche?format=fr&amp;fiche=20603","20603")</f>
        <v>20603</v>
      </c>
      <c r="D396" s="4" t="str">
        <f>HYPERLINK("http://www.intercariforef.org/formations/certification-83572.html","83572")</f>
        <v>83572</v>
      </c>
      <c r="E396" s="5">
        <v>17526</v>
      </c>
      <c r="F396" s="5" t="s">
        <v>10</v>
      </c>
      <c r="G396" s="5" t="s">
        <v>11</v>
      </c>
      <c r="H396" s="3" t="s">
        <v>585</v>
      </c>
    </row>
    <row r="397" spans="1:8" ht="27.6" x14ac:dyDescent="0.25">
      <c r="A397" s="3" t="s">
        <v>8</v>
      </c>
      <c r="B397" s="3" t="s">
        <v>649</v>
      </c>
      <c r="C397" s="4" t="str">
        <f>HYPERLINK("http://www.rncp.cncp.gouv.fr/grand-public/visualisationFiche?format=fr&amp;fiche=15357","15357")</f>
        <v>15357</v>
      </c>
      <c r="D397" s="4" t="str">
        <f>HYPERLINK("http://www.intercariforef.org/formations/certification-79026.html","79026")</f>
        <v>79026</v>
      </c>
      <c r="E397" s="5">
        <v>9914</v>
      </c>
      <c r="F397" s="5" t="s">
        <v>10</v>
      </c>
      <c r="G397" s="5" t="s">
        <v>11</v>
      </c>
      <c r="H397" s="3" t="s">
        <v>589</v>
      </c>
    </row>
    <row r="398" spans="1:8" ht="27.6" x14ac:dyDescent="0.25">
      <c r="A398" s="3" t="s">
        <v>8</v>
      </c>
      <c r="B398" s="3" t="s">
        <v>650</v>
      </c>
      <c r="C398" s="4" t="str">
        <f>HYPERLINK("http://www.rncp.cncp.gouv.fr/grand-public/visualisationFiche?format=fr&amp;fiche=9371","9371")</f>
        <v>9371</v>
      </c>
      <c r="D398" s="4" t="str">
        <f>HYPERLINK("http://www.intercariforef.org/formations/certification-64662.html","64662")</f>
        <v>64662</v>
      </c>
      <c r="E398" s="5">
        <v>162491</v>
      </c>
      <c r="F398" s="5" t="s">
        <v>10</v>
      </c>
      <c r="G398" s="5" t="s">
        <v>11</v>
      </c>
      <c r="H398" s="3" t="s">
        <v>651</v>
      </c>
    </row>
    <row r="399" spans="1:8" ht="13.8" x14ac:dyDescent="0.25">
      <c r="A399" s="3" t="s">
        <v>8</v>
      </c>
      <c r="B399" s="3" t="s">
        <v>652</v>
      </c>
      <c r="C399" s="4" t="str">
        <f>HYPERLINK("http://www.rncp.cncp.gouv.fr/grand-public/visualisationFiche?format=fr&amp;fiche=21793","21793")</f>
        <v>21793</v>
      </c>
      <c r="D399" s="4" t="str">
        <f>HYPERLINK("http://www.intercariforef.org/formations/certification-84150.html","84150")</f>
        <v>84150</v>
      </c>
      <c r="E399" s="5">
        <v>162699</v>
      </c>
      <c r="F399" s="5" t="s">
        <v>10</v>
      </c>
      <c r="G399" s="5" t="s">
        <v>11</v>
      </c>
      <c r="H399" s="3" t="s">
        <v>220</v>
      </c>
    </row>
    <row r="400" spans="1:8" ht="13.8" x14ac:dyDescent="0.25">
      <c r="A400" s="3" t="s">
        <v>8</v>
      </c>
      <c r="B400" s="3" t="s">
        <v>653</v>
      </c>
      <c r="C400" s="4" t="str">
        <f>HYPERLINK("http://www.rncp.cncp.gouv.fr/grand-public/visualisationFiche?format=fr&amp;fiche=16643","16643")</f>
        <v>16643</v>
      </c>
      <c r="D400" s="4" t="str">
        <f>HYPERLINK("http://www.intercariforef.org/formations/certification-81102.html","81102")</f>
        <v>81102</v>
      </c>
      <c r="E400" s="5">
        <v>16056</v>
      </c>
      <c r="F400" s="5" t="s">
        <v>10</v>
      </c>
      <c r="G400" s="5" t="s">
        <v>11</v>
      </c>
      <c r="H400" s="3" t="s">
        <v>36</v>
      </c>
    </row>
    <row r="401" spans="1:8" ht="13.8" x14ac:dyDescent="0.25">
      <c r="A401" s="3" t="s">
        <v>8</v>
      </c>
      <c r="B401" s="3" t="s">
        <v>654</v>
      </c>
      <c r="C401" s="4" t="str">
        <f>HYPERLINK("http://www.rncp.cncp.gouv.fr/grand-public/visualisationFiche?format=fr&amp;fiche=14526","14526")</f>
        <v>14526</v>
      </c>
      <c r="D401" s="4" t="str">
        <f>HYPERLINK("http://www.intercariforef.org/formations/certification-77510.html","77510")</f>
        <v>77510</v>
      </c>
      <c r="E401" s="5">
        <v>9915</v>
      </c>
      <c r="F401" s="5" t="s">
        <v>10</v>
      </c>
      <c r="G401" s="5" t="s">
        <v>11</v>
      </c>
      <c r="H401" s="3" t="s">
        <v>655</v>
      </c>
    </row>
    <row r="402" spans="1:8" ht="13.8" x14ac:dyDescent="0.25">
      <c r="A402" s="3" t="s">
        <v>8</v>
      </c>
      <c r="B402" s="3" t="s">
        <v>656</v>
      </c>
      <c r="C402" s="4" t="str">
        <f>HYPERLINK("http://www.rncp.cncp.gouv.fr/grand-public/visualisationFiche?format=fr&amp;fiche=5385","5385")</f>
        <v>5385</v>
      </c>
      <c r="D402" s="4" t="str">
        <f>HYPERLINK("http://www.intercariforef.org/formations/certification-55422.html","55422")</f>
        <v>55422</v>
      </c>
      <c r="E402" s="5">
        <v>162700</v>
      </c>
      <c r="F402" s="5" t="s">
        <v>10</v>
      </c>
      <c r="G402" s="5" t="s">
        <v>11</v>
      </c>
      <c r="H402" s="3" t="s">
        <v>34</v>
      </c>
    </row>
    <row r="403" spans="1:8" ht="27.6" x14ac:dyDescent="0.25">
      <c r="A403" s="3" t="s">
        <v>8</v>
      </c>
      <c r="B403" s="3" t="s">
        <v>657</v>
      </c>
      <c r="C403" s="4" t="str">
        <f>HYPERLINK("http://www.rncp.cncp.gouv.fr/grand-public/visualisationFiche?format=fr&amp;fiche=9872","9872")</f>
        <v>9872</v>
      </c>
      <c r="D403" s="4" t="str">
        <f>HYPERLINK("http://www.intercariforef.org/formations/certification-57845.html","57845")</f>
        <v>57845</v>
      </c>
      <c r="E403" s="5">
        <v>17527</v>
      </c>
      <c r="F403" s="5" t="s">
        <v>10</v>
      </c>
      <c r="G403" s="5" t="s">
        <v>11</v>
      </c>
      <c r="H403" s="3" t="s">
        <v>658</v>
      </c>
    </row>
    <row r="404" spans="1:8" ht="27.6" x14ac:dyDescent="0.25">
      <c r="A404" s="3" t="s">
        <v>8</v>
      </c>
      <c r="B404" s="3" t="s">
        <v>657</v>
      </c>
      <c r="C404" s="4" t="str">
        <f>HYPERLINK("http://www.rncp.cncp.gouv.fr/grand-public/visualisationFiche?format=fr&amp;fiche=11541","11541")</f>
        <v>11541</v>
      </c>
      <c r="D404" s="4" t="str">
        <f>HYPERLINK("http://www.intercariforef.org/formations/certification-72731.html","72731")</f>
        <v>72731</v>
      </c>
      <c r="E404" s="5">
        <v>17529</v>
      </c>
      <c r="F404" s="5" t="s">
        <v>10</v>
      </c>
      <c r="G404" s="5" t="s">
        <v>11</v>
      </c>
      <c r="H404" s="3" t="s">
        <v>659</v>
      </c>
    </row>
    <row r="405" spans="1:8" ht="13.8" x14ac:dyDescent="0.25">
      <c r="A405" s="3" t="s">
        <v>8</v>
      </c>
      <c r="B405" s="3" t="s">
        <v>657</v>
      </c>
      <c r="C405" s="4" t="str">
        <f>HYPERLINK("http://www.rncp.cncp.gouv.fr/grand-public/visualisationFiche?format=fr&amp;fiche=22102","22102")</f>
        <v>22102</v>
      </c>
      <c r="D405" s="4" t="str">
        <f>HYPERLINK("http://www.intercariforef.org/formations/certification-63716.html","63716")</f>
        <v>63716</v>
      </c>
      <c r="E405" s="5">
        <v>17528</v>
      </c>
      <c r="F405" s="5" t="s">
        <v>10</v>
      </c>
      <c r="G405" s="5" t="s">
        <v>11</v>
      </c>
      <c r="H405" s="3" t="s">
        <v>660</v>
      </c>
    </row>
    <row r="406" spans="1:8" ht="27.6" x14ac:dyDescent="0.25">
      <c r="A406" s="3" t="s">
        <v>8</v>
      </c>
      <c r="B406" s="3" t="s">
        <v>661</v>
      </c>
      <c r="C406" s="4" t="str">
        <f>HYPERLINK("http://www.rncp.cncp.gouv.fr/grand-public/visualisationFiche?format=fr&amp;fiche=16258","16258")</f>
        <v>16258</v>
      </c>
      <c r="D406" s="4" t="str">
        <f>HYPERLINK("http://www.intercariforef.org/formations/certification-80781.html","80781")</f>
        <v>80781</v>
      </c>
      <c r="E406" s="5">
        <v>9924</v>
      </c>
      <c r="F406" s="5" t="s">
        <v>10</v>
      </c>
      <c r="G406" s="5" t="s">
        <v>11</v>
      </c>
      <c r="H406" s="3" t="s">
        <v>589</v>
      </c>
    </row>
    <row r="407" spans="1:8" ht="13.8" x14ac:dyDescent="0.25">
      <c r="A407" s="3" t="s">
        <v>8</v>
      </c>
      <c r="B407" s="3" t="s">
        <v>662</v>
      </c>
      <c r="C407" s="4" t="str">
        <f>HYPERLINK("http://www.rncp.cncp.gouv.fr/grand-public/visualisationFiche?format=fr&amp;fiche=19218","19218")</f>
        <v>19218</v>
      </c>
      <c r="D407" s="4" t="str">
        <f>HYPERLINK("http://www.intercariforef.org/formations/certification-83176.html","83176")</f>
        <v>83176</v>
      </c>
      <c r="E407" s="5">
        <v>9927</v>
      </c>
      <c r="F407" s="5" t="s">
        <v>10</v>
      </c>
      <c r="G407" s="5" t="s">
        <v>11</v>
      </c>
      <c r="H407" s="3" t="s">
        <v>663</v>
      </c>
    </row>
    <row r="408" spans="1:8" ht="13.8" x14ac:dyDescent="0.25">
      <c r="A408" s="3" t="s">
        <v>8</v>
      </c>
      <c r="B408" s="3" t="s">
        <v>664</v>
      </c>
      <c r="C408" s="4" t="str">
        <f>HYPERLINK("http://www.rncp.cncp.gouv.fr/grand-public/visualisationFiche?format=fr&amp;fiche=19417","19417")</f>
        <v>19417</v>
      </c>
      <c r="D408" s="4" t="str">
        <f>HYPERLINK("http://www.intercariforef.org/formations/certification-83385.html","83385")</f>
        <v>83385</v>
      </c>
      <c r="E408" s="5">
        <v>9930</v>
      </c>
      <c r="F408" s="5" t="s">
        <v>10</v>
      </c>
      <c r="G408" s="5" t="s">
        <v>11</v>
      </c>
      <c r="H408" s="3" t="s">
        <v>647</v>
      </c>
    </row>
    <row r="409" spans="1:8" ht="13.8" x14ac:dyDescent="0.25">
      <c r="A409" s="3" t="s">
        <v>8</v>
      </c>
      <c r="B409" s="3" t="s">
        <v>665</v>
      </c>
      <c r="C409" s="4" t="str">
        <f>HYPERLINK("http://www.rncp.cncp.gouv.fr/grand-public/visualisationFiche?format=fr&amp;fiche=14114","14114")</f>
        <v>14114</v>
      </c>
      <c r="D409" s="4" t="str">
        <f>HYPERLINK("http://www.intercariforef.org/formations/certification-74819.html","74819")</f>
        <v>74819</v>
      </c>
      <c r="E409" s="5">
        <v>9932</v>
      </c>
      <c r="F409" s="5" t="s">
        <v>10</v>
      </c>
      <c r="G409" s="5" t="s">
        <v>11</v>
      </c>
      <c r="H409" s="3" t="s">
        <v>666</v>
      </c>
    </row>
    <row r="410" spans="1:8" ht="27.6" x14ac:dyDescent="0.25">
      <c r="A410" s="3" t="s">
        <v>8</v>
      </c>
      <c r="B410" s="3" t="s">
        <v>667</v>
      </c>
      <c r="C410" s="4" t="str">
        <f>HYPERLINK("http://www.rncp.cncp.gouv.fr/grand-public/visualisationFiche?format=fr&amp;fiche=15092","15092")</f>
        <v>15092</v>
      </c>
      <c r="D410" s="4" t="str">
        <f>HYPERLINK("http://www.intercariforef.org/formations/certification-77489.html","77489")</f>
        <v>77489</v>
      </c>
      <c r="E410" s="5">
        <v>16058</v>
      </c>
      <c r="F410" s="5" t="s">
        <v>10</v>
      </c>
      <c r="G410" s="5" t="s">
        <v>11</v>
      </c>
      <c r="H410" s="3" t="s">
        <v>54</v>
      </c>
    </row>
    <row r="411" spans="1:8" ht="27.6" x14ac:dyDescent="0.25">
      <c r="A411" s="3" t="s">
        <v>8</v>
      </c>
      <c r="B411" s="3" t="s">
        <v>668</v>
      </c>
      <c r="C411" s="4" t="str">
        <f>HYPERLINK("http://www.rncp.cncp.gouv.fr/grand-public/visualisationFiche?format=fr&amp;fiche=17999","17999")</f>
        <v>17999</v>
      </c>
      <c r="D411" s="4" t="str">
        <f>HYPERLINK("http://www.intercariforef.org/formations/certification-62949.html","62949")</f>
        <v>62949</v>
      </c>
      <c r="E411" s="5">
        <v>9940</v>
      </c>
      <c r="F411" s="5" t="s">
        <v>10</v>
      </c>
      <c r="G411" s="5" t="s">
        <v>11</v>
      </c>
      <c r="H411" s="3" t="s">
        <v>669</v>
      </c>
    </row>
    <row r="412" spans="1:8" ht="13.8" x14ac:dyDescent="0.25">
      <c r="A412" s="3" t="s">
        <v>8</v>
      </c>
      <c r="B412" s="3" t="s">
        <v>670</v>
      </c>
      <c r="C412" s="4" t="str">
        <f>HYPERLINK("http://www.rncp.cncp.gouv.fr/grand-public/visualisationFiche?format=fr&amp;fiche=11933","11933")</f>
        <v>11933</v>
      </c>
      <c r="D412" s="4" t="str">
        <f>HYPERLINK("http://www.intercariforef.org/formations/certification-73798.html","73798")</f>
        <v>73798</v>
      </c>
      <c r="E412" s="5">
        <v>9942</v>
      </c>
      <c r="F412" s="5" t="s">
        <v>10</v>
      </c>
      <c r="G412" s="5" t="s">
        <v>11</v>
      </c>
      <c r="H412" s="3" t="s">
        <v>104</v>
      </c>
    </row>
    <row r="413" spans="1:8" ht="27.6" x14ac:dyDescent="0.25">
      <c r="A413" s="3" t="s">
        <v>8</v>
      </c>
      <c r="B413" s="3" t="s">
        <v>671</v>
      </c>
      <c r="C413" s="4" t="str">
        <f>HYPERLINK("http://www.rncp.cncp.gouv.fr/grand-public/visualisationFiche?format=fr&amp;fiche=16651","16651")</f>
        <v>16651</v>
      </c>
      <c r="D413" s="4" t="str">
        <f>HYPERLINK("http://www.intercariforef.org/formations/certification-79029.html","79029")</f>
        <v>79029</v>
      </c>
      <c r="E413" s="5">
        <v>17530</v>
      </c>
      <c r="F413" s="5" t="s">
        <v>10</v>
      </c>
      <c r="G413" s="5" t="s">
        <v>11</v>
      </c>
      <c r="H413" s="3" t="s">
        <v>589</v>
      </c>
    </row>
    <row r="414" spans="1:8" ht="13.8" x14ac:dyDescent="0.25">
      <c r="A414" s="3" t="s">
        <v>8</v>
      </c>
      <c r="B414" s="3" t="s">
        <v>672</v>
      </c>
      <c r="C414" s="4" t="str">
        <f>HYPERLINK("http://www.rncp.cncp.gouv.fr/grand-public/visualisationFiche?format=fr&amp;fiche=15270","15270")</f>
        <v>15270</v>
      </c>
      <c r="D414" s="4" t="str">
        <f>HYPERLINK("http://www.intercariforef.org/formations/certification-79030.html","79030")</f>
        <v>79030</v>
      </c>
      <c r="E414" s="5">
        <v>17531</v>
      </c>
      <c r="F414" s="5" t="s">
        <v>10</v>
      </c>
      <c r="G414" s="5" t="s">
        <v>11</v>
      </c>
      <c r="H414" s="3" t="s">
        <v>673</v>
      </c>
    </row>
    <row r="415" spans="1:8" ht="13.8" x14ac:dyDescent="0.25">
      <c r="A415" s="3" t="s">
        <v>8</v>
      </c>
      <c r="B415" s="3" t="s">
        <v>674</v>
      </c>
      <c r="C415" s="4" t="str">
        <f>HYPERLINK("http://www.rncp.cncp.gouv.fr/grand-public/visualisationFiche?format=fr&amp;fiche=15054","15054")</f>
        <v>15054</v>
      </c>
      <c r="D415" s="4" t="str">
        <f>HYPERLINK("http://www.intercariforef.org/formations/certification-78877.html","78877")</f>
        <v>78877</v>
      </c>
      <c r="E415" s="5">
        <v>9946</v>
      </c>
      <c r="F415" s="5" t="s">
        <v>10</v>
      </c>
      <c r="G415" s="5" t="s">
        <v>11</v>
      </c>
      <c r="H415" s="3" t="s">
        <v>98</v>
      </c>
    </row>
    <row r="416" spans="1:8" ht="13.8" x14ac:dyDescent="0.25">
      <c r="A416" s="3" t="s">
        <v>8</v>
      </c>
      <c r="B416" s="3" t="s">
        <v>674</v>
      </c>
      <c r="C416" s="4" t="str">
        <f>HYPERLINK("http://www.rncp.cncp.gouv.fr/grand-public/visualisationFiche?format=fr&amp;fiche=19412","19412")</f>
        <v>19412</v>
      </c>
      <c r="D416" s="4" t="str">
        <f>HYPERLINK("http://www.intercariforef.org/formations/certification-83388.html","83388")</f>
        <v>83388</v>
      </c>
      <c r="E416" s="5">
        <v>9947</v>
      </c>
      <c r="F416" s="5" t="s">
        <v>10</v>
      </c>
      <c r="G416" s="5" t="s">
        <v>11</v>
      </c>
      <c r="H416" s="3" t="s">
        <v>675</v>
      </c>
    </row>
    <row r="417" spans="1:8" ht="13.8" x14ac:dyDescent="0.25">
      <c r="A417" s="3" t="s">
        <v>8</v>
      </c>
      <c r="B417" s="3" t="s">
        <v>676</v>
      </c>
      <c r="C417" s="4" t="str">
        <f>HYPERLINK("http://www.rncp.cncp.gouv.fr/grand-public/visualisationFiche?format=fr&amp;fiche=16798","16798")</f>
        <v>16798</v>
      </c>
      <c r="D417" s="4" t="str">
        <f>HYPERLINK("http://www.intercariforef.org/formations/certification-81116.html","81116")</f>
        <v>81116</v>
      </c>
      <c r="E417" s="5">
        <v>16060</v>
      </c>
      <c r="F417" s="5" t="s">
        <v>10</v>
      </c>
      <c r="G417" s="5" t="s">
        <v>11</v>
      </c>
      <c r="H417" s="3" t="s">
        <v>129</v>
      </c>
    </row>
    <row r="418" spans="1:8" ht="13.8" x14ac:dyDescent="0.25">
      <c r="A418" s="3" t="s">
        <v>8</v>
      </c>
      <c r="B418" s="3" t="s">
        <v>677</v>
      </c>
      <c r="C418" s="4" t="str">
        <f>HYPERLINK("http://www.rncp.cncp.gouv.fr/grand-public/visualisationFiche?format=fr&amp;fiche=17292","17292")</f>
        <v>17292</v>
      </c>
      <c r="D418" s="4" t="str">
        <f>HYPERLINK("http://www.intercariforef.org/formations/certification-81632.html","81632")</f>
        <v>81632</v>
      </c>
      <c r="E418" s="5">
        <v>9951</v>
      </c>
      <c r="F418" s="5" t="s">
        <v>10</v>
      </c>
      <c r="G418" s="5" t="s">
        <v>11</v>
      </c>
      <c r="H418" s="3" t="s">
        <v>42</v>
      </c>
    </row>
    <row r="419" spans="1:8" ht="13.8" x14ac:dyDescent="0.25">
      <c r="A419" s="3" t="s">
        <v>8</v>
      </c>
      <c r="B419" s="3" t="s">
        <v>678</v>
      </c>
      <c r="C419" s="4" t="str">
        <f>HYPERLINK("http://www.rncp.cncp.gouv.fr/grand-public/visualisationFiche?format=fr&amp;fiche=18012","18012")</f>
        <v>18012</v>
      </c>
      <c r="D419" s="4" t="str">
        <f>HYPERLINK("http://www.intercariforef.org/formations/certification-63131.html","63131")</f>
        <v>63131</v>
      </c>
      <c r="E419" s="5">
        <v>9954</v>
      </c>
      <c r="F419" s="5" t="s">
        <v>10</v>
      </c>
      <c r="G419" s="5" t="s">
        <v>11</v>
      </c>
      <c r="H419" s="3" t="s">
        <v>679</v>
      </c>
    </row>
    <row r="420" spans="1:8" ht="13.8" x14ac:dyDescent="0.25">
      <c r="A420" s="3" t="s">
        <v>8</v>
      </c>
      <c r="B420" s="3" t="s">
        <v>680</v>
      </c>
      <c r="C420" s="4" t="str">
        <f>HYPERLINK("http://www.rncp.cncp.gouv.fr/grand-public/visualisationFiche?format=fr&amp;fiche=22105","22105")</f>
        <v>22105</v>
      </c>
      <c r="D420" s="4" t="str">
        <f>HYPERLINK("http://www.intercariforef.org/formations/certification-68532.html","68532")</f>
        <v>68532</v>
      </c>
      <c r="E420" s="5">
        <v>9958</v>
      </c>
      <c r="F420" s="5" t="s">
        <v>10</v>
      </c>
      <c r="G420" s="5" t="s">
        <v>11</v>
      </c>
      <c r="H420" s="3" t="s">
        <v>681</v>
      </c>
    </row>
    <row r="421" spans="1:8" ht="13.8" x14ac:dyDescent="0.25">
      <c r="A421" s="3" t="s">
        <v>8</v>
      </c>
      <c r="B421" s="3" t="s">
        <v>682</v>
      </c>
      <c r="C421" s="4" t="str">
        <f>HYPERLINK("http://www.rncp.cncp.gouv.fr/grand-public/visualisationFiche?format=fr&amp;fiche=6584","6584")</f>
        <v>6584</v>
      </c>
      <c r="D421" s="4" t="str">
        <f>HYPERLINK("http://www.intercariforef.org/formations/certification-62729.html","62729")</f>
        <v>62729</v>
      </c>
      <c r="E421" s="5">
        <v>9960</v>
      </c>
      <c r="F421" s="5" t="s">
        <v>10</v>
      </c>
      <c r="G421" s="5" t="s">
        <v>11</v>
      </c>
      <c r="H421" s="3" t="s">
        <v>683</v>
      </c>
    </row>
    <row r="422" spans="1:8" ht="27.6" x14ac:dyDescent="0.25">
      <c r="A422" s="3" t="s">
        <v>8</v>
      </c>
      <c r="B422" s="3" t="s">
        <v>684</v>
      </c>
      <c r="C422" s="4" t="str">
        <f>HYPERLINK("http://www.rncp.cncp.gouv.fr/grand-public/visualisationFiche?format=fr&amp;fiche=16919","16919")</f>
        <v>16919</v>
      </c>
      <c r="D422" s="4" t="str">
        <f>HYPERLINK("http://www.intercariforef.org/formations/certification-73810.html","73810")</f>
        <v>73810</v>
      </c>
      <c r="E422" s="5">
        <v>16061</v>
      </c>
      <c r="F422" s="5" t="s">
        <v>10</v>
      </c>
      <c r="G422" s="5" t="s">
        <v>11</v>
      </c>
      <c r="H422" s="3" t="s">
        <v>685</v>
      </c>
    </row>
    <row r="423" spans="1:8" ht="27.6" x14ac:dyDescent="0.25">
      <c r="A423" s="3" t="s">
        <v>8</v>
      </c>
      <c r="B423" s="3" t="s">
        <v>686</v>
      </c>
      <c r="C423" s="4" t="str">
        <f>HYPERLINK("http://www.rncp.cncp.gouv.fr/grand-public/visualisationFiche?format=fr&amp;fiche=22104","22104")</f>
        <v>22104</v>
      </c>
      <c r="D423" s="4" t="str">
        <f>HYPERLINK("http://www.intercariforef.org/formations/certification-68533.html","68533")</f>
        <v>68533</v>
      </c>
      <c r="E423" s="5">
        <v>17532</v>
      </c>
      <c r="F423" s="5" t="s">
        <v>10</v>
      </c>
      <c r="G423" s="5" t="s">
        <v>11</v>
      </c>
      <c r="H423" s="3" t="s">
        <v>687</v>
      </c>
    </row>
    <row r="424" spans="1:8" ht="13.8" x14ac:dyDescent="0.25">
      <c r="A424" s="3" t="s">
        <v>8</v>
      </c>
      <c r="B424" s="3" t="s">
        <v>688</v>
      </c>
      <c r="C424" s="4" t="str">
        <f>HYPERLINK("http://www.rncp.cncp.gouv.fr/grand-public/visualisationFiche?format=fr&amp;fiche=19222","19222")</f>
        <v>19222</v>
      </c>
      <c r="D424" s="4" t="str">
        <f>HYPERLINK("http://www.intercariforef.org/formations/certification-83188.html","83188")</f>
        <v>83188</v>
      </c>
      <c r="E424" s="5">
        <v>9964</v>
      </c>
      <c r="F424" s="5" t="s">
        <v>10</v>
      </c>
      <c r="G424" s="5" t="s">
        <v>11</v>
      </c>
      <c r="H424" s="3" t="s">
        <v>689</v>
      </c>
    </row>
    <row r="425" spans="1:8" ht="13.8" x14ac:dyDescent="0.25">
      <c r="A425" s="3" t="s">
        <v>8</v>
      </c>
      <c r="B425" s="3" t="s">
        <v>690</v>
      </c>
      <c r="C425" s="4" t="str">
        <f>HYPERLINK("http://www.rncp.cncp.gouv.fr/grand-public/visualisationFiche?format=fr&amp;fiche=22123","22123")</f>
        <v>22123</v>
      </c>
      <c r="D425" s="4" t="str">
        <f>HYPERLINK("http://www.intercariforef.org/formations/certification-77512.html","77512")</f>
        <v>77512</v>
      </c>
      <c r="E425" s="5">
        <v>9978</v>
      </c>
      <c r="F425" s="5" t="s">
        <v>10</v>
      </c>
      <c r="G425" s="5" t="s">
        <v>11</v>
      </c>
      <c r="H425" s="3" t="s">
        <v>691</v>
      </c>
    </row>
    <row r="426" spans="1:8" ht="13.8" x14ac:dyDescent="0.25">
      <c r="A426" s="3" t="s">
        <v>8</v>
      </c>
      <c r="B426" s="3" t="s">
        <v>692</v>
      </c>
      <c r="C426" s="4" t="str">
        <f>HYPERLINK("http://www.rncp.cncp.gouv.fr/grand-public/visualisationFiche?format=fr&amp;fiche=14521","14521")</f>
        <v>14521</v>
      </c>
      <c r="D426" s="4" t="str">
        <f>HYPERLINK("http://www.intercariforef.org/formations/certification-77516.html","77516")</f>
        <v>77516</v>
      </c>
      <c r="E426" s="5">
        <v>9977</v>
      </c>
      <c r="F426" s="5" t="s">
        <v>10</v>
      </c>
      <c r="G426" s="5" t="s">
        <v>11</v>
      </c>
      <c r="H426" s="3" t="s">
        <v>693</v>
      </c>
    </row>
    <row r="427" spans="1:8" ht="13.8" x14ac:dyDescent="0.25">
      <c r="A427" s="3" t="s">
        <v>8</v>
      </c>
      <c r="B427" s="3" t="s">
        <v>694</v>
      </c>
      <c r="C427" s="4" t="str">
        <f>HYPERLINK("http://www.rncp.cncp.gouv.fr/grand-public/visualisationFiche?format=fr&amp;fiche=19449","19449")</f>
        <v>19449</v>
      </c>
      <c r="D427" s="4" t="str">
        <f>HYPERLINK("http://www.intercariforef.org/formations/certification-83370.html","83370")</f>
        <v>83370</v>
      </c>
      <c r="E427" s="5">
        <v>9981</v>
      </c>
      <c r="F427" s="5" t="s">
        <v>10</v>
      </c>
      <c r="G427" s="5" t="s">
        <v>11</v>
      </c>
      <c r="H427" s="3" t="s">
        <v>695</v>
      </c>
    </row>
    <row r="428" spans="1:8" ht="13.8" x14ac:dyDescent="0.25">
      <c r="A428" s="3" t="s">
        <v>8</v>
      </c>
      <c r="B428" s="3" t="s">
        <v>696</v>
      </c>
      <c r="C428" s="4" t="str">
        <f>HYPERLINK("http://www.rncp.cncp.gouv.fr/grand-public/visualisationFiche?format=fr&amp;fiche=14624","14624")</f>
        <v>14624</v>
      </c>
      <c r="D428" s="4" t="str">
        <f>HYPERLINK("http://www.intercariforef.org/formations/certification-77507.html","77507")</f>
        <v>77507</v>
      </c>
      <c r="E428" s="5">
        <v>9982</v>
      </c>
      <c r="F428" s="5" t="s">
        <v>10</v>
      </c>
      <c r="G428" s="5" t="s">
        <v>11</v>
      </c>
      <c r="H428" s="3" t="s">
        <v>73</v>
      </c>
    </row>
    <row r="429" spans="1:8" ht="27.6" x14ac:dyDescent="0.25">
      <c r="A429" s="3" t="s">
        <v>8</v>
      </c>
      <c r="B429" s="3" t="s">
        <v>697</v>
      </c>
      <c r="C429" s="4" t="str">
        <f>HYPERLINK("http://www.rncp.cncp.gouv.fr/grand-public/visualisationFiche?format=fr&amp;fiche=21776","21776")</f>
        <v>21776</v>
      </c>
      <c r="D429" s="4" t="str">
        <f>HYPERLINK("http://www.intercariforef.org/formations/certification-84137.html","84137")</f>
        <v>84137</v>
      </c>
      <c r="E429" s="5">
        <v>162701</v>
      </c>
      <c r="F429" s="5" t="s">
        <v>10</v>
      </c>
      <c r="G429" s="5" t="s">
        <v>11</v>
      </c>
      <c r="H429" s="3" t="s">
        <v>698</v>
      </c>
    </row>
    <row r="430" spans="1:8" ht="13.8" x14ac:dyDescent="0.25">
      <c r="A430" s="3" t="s">
        <v>8</v>
      </c>
      <c r="B430" s="3" t="s">
        <v>699</v>
      </c>
      <c r="C430" s="4" t="str">
        <f>HYPERLINK("http://www.rncp.cncp.gouv.fr/grand-public/visualisationFiche?format=fr&amp;fiche=14524","14524")</f>
        <v>14524</v>
      </c>
      <c r="D430" s="4" t="str">
        <f>HYPERLINK("http://www.intercariforef.org/formations/certification-77513.html","77513")</f>
        <v>77513</v>
      </c>
      <c r="E430" s="5">
        <v>9985</v>
      </c>
      <c r="F430" s="5" t="s">
        <v>10</v>
      </c>
      <c r="G430" s="5" t="s">
        <v>11</v>
      </c>
      <c r="H430" s="3" t="s">
        <v>73</v>
      </c>
    </row>
    <row r="431" spans="1:8" ht="13.8" x14ac:dyDescent="0.25">
      <c r="A431" s="3" t="s">
        <v>8</v>
      </c>
      <c r="B431" s="3" t="s">
        <v>700</v>
      </c>
      <c r="C431" s="4" t="str">
        <f>HYPERLINK("http://www.rncp.cncp.gouv.fr/grand-public/visualisationFiche?format=fr&amp;fiche=19220","19220")</f>
        <v>19220</v>
      </c>
      <c r="D431" s="4" t="str">
        <f>HYPERLINK("http://www.intercariforef.org/formations/certification-83181.html","83181")</f>
        <v>83181</v>
      </c>
      <c r="E431" s="5">
        <v>17533</v>
      </c>
      <c r="F431" s="5" t="s">
        <v>10</v>
      </c>
      <c r="G431" s="5" t="s">
        <v>11</v>
      </c>
      <c r="H431" s="3" t="s">
        <v>12</v>
      </c>
    </row>
    <row r="432" spans="1:8" ht="13.8" x14ac:dyDescent="0.25">
      <c r="A432" s="3" t="s">
        <v>8</v>
      </c>
      <c r="B432" s="3" t="s">
        <v>701</v>
      </c>
      <c r="C432" s="4" t="str">
        <f>HYPERLINK("http://www.rncp.cncp.gouv.fr/grand-public/visualisationFiche?format=fr&amp;fiche=21775","21775")</f>
        <v>21775</v>
      </c>
      <c r="D432" s="4" t="str">
        <f>HYPERLINK("http://www.intercariforef.org/formations/certification-84136.html","84136")</f>
        <v>84136</v>
      </c>
      <c r="E432" s="5">
        <v>162702</v>
      </c>
      <c r="F432" s="5" t="s">
        <v>10</v>
      </c>
      <c r="G432" s="5" t="s">
        <v>11</v>
      </c>
      <c r="H432" s="3" t="s">
        <v>114</v>
      </c>
    </row>
    <row r="433" spans="1:8" ht="27.6" x14ac:dyDescent="0.25">
      <c r="A433" s="3" t="s">
        <v>8</v>
      </c>
      <c r="B433" s="3" t="s">
        <v>702</v>
      </c>
      <c r="C433" s="4" t="str">
        <f>HYPERLINK("http://www.rncp.cncp.gouv.fr/grand-public/visualisationFiche?format=fr&amp;fiche=18002","18002")</f>
        <v>18002</v>
      </c>
      <c r="D433" s="4" t="str">
        <f>HYPERLINK("http://www.intercariforef.org/formations/certification-81363.html","81363")</f>
        <v>81363</v>
      </c>
      <c r="E433" s="5">
        <v>9988</v>
      </c>
      <c r="F433" s="5" t="s">
        <v>10</v>
      </c>
      <c r="G433" s="5" t="s">
        <v>11</v>
      </c>
      <c r="H433" s="3" t="s">
        <v>669</v>
      </c>
    </row>
    <row r="434" spans="1:8" ht="27.6" x14ac:dyDescent="0.25">
      <c r="A434" s="3" t="s">
        <v>8</v>
      </c>
      <c r="B434" s="3" t="s">
        <v>703</v>
      </c>
      <c r="C434" s="4" t="str">
        <f>HYPERLINK("http://www.rncp.cncp.gouv.fr/grand-public/visualisationFiche?format=fr&amp;fiche=23639","23639")</f>
        <v>23639</v>
      </c>
      <c r="D434" s="4" t="str">
        <f>HYPERLINK("http://www.intercariforef.org/formations/certification-84689.html","84689")</f>
        <v>84689</v>
      </c>
      <c r="E434" s="5">
        <v>162703</v>
      </c>
      <c r="F434" s="5" t="s">
        <v>10</v>
      </c>
      <c r="G434" s="5" t="s">
        <v>11</v>
      </c>
      <c r="H434" s="3" t="s">
        <v>698</v>
      </c>
    </row>
    <row r="435" spans="1:8" ht="27.6" x14ac:dyDescent="0.25">
      <c r="A435" s="3" t="s">
        <v>8</v>
      </c>
      <c r="B435" s="3" t="s">
        <v>704</v>
      </c>
      <c r="C435" s="4" t="str">
        <f>HYPERLINK("http://www.rncp.cncp.gouv.fr/grand-public/visualisationFiche?format=fr&amp;fiche=6583","6583")</f>
        <v>6583</v>
      </c>
      <c r="D435" s="4" t="str">
        <f>HYPERLINK("http://www.intercariforef.org/formations/certification-62727.html","62727")</f>
        <v>62727</v>
      </c>
      <c r="E435" s="5">
        <v>17534</v>
      </c>
      <c r="F435" s="5" t="s">
        <v>10</v>
      </c>
      <c r="G435" s="5" t="s">
        <v>11</v>
      </c>
      <c r="H435" s="3" t="s">
        <v>22</v>
      </c>
    </row>
    <row r="436" spans="1:8" ht="13.8" x14ac:dyDescent="0.25">
      <c r="A436" s="3" t="s">
        <v>8</v>
      </c>
      <c r="B436" s="3" t="s">
        <v>705</v>
      </c>
      <c r="C436" s="4" t="str">
        <f>HYPERLINK("http://www.rncp.cncp.gouv.fr/grand-public/visualisationFiche?format=fr&amp;fiche=17266","17266")</f>
        <v>17266</v>
      </c>
      <c r="D436" s="4" t="str">
        <f>HYPERLINK("http://www.intercariforef.org/formations/certification-69893.html","69893")</f>
        <v>69893</v>
      </c>
      <c r="E436" s="5">
        <v>9990</v>
      </c>
      <c r="F436" s="5" t="s">
        <v>10</v>
      </c>
      <c r="G436" s="5" t="s">
        <v>11</v>
      </c>
      <c r="H436" s="3" t="s">
        <v>36</v>
      </c>
    </row>
    <row r="437" spans="1:8" ht="13.8" x14ac:dyDescent="0.25">
      <c r="A437" s="3" t="s">
        <v>8</v>
      </c>
      <c r="B437" s="3" t="s">
        <v>706</v>
      </c>
      <c r="C437" s="4" t="str">
        <f>HYPERLINK("http://www.rncp.cncp.gouv.fr/grand-public/visualisationFiche?format=fr&amp;fiche=17836","17836")</f>
        <v>17836</v>
      </c>
      <c r="D437" s="4" t="str">
        <f>HYPERLINK("http://www.intercariforef.org/formations/certification-82289.html","82289")</f>
        <v>82289</v>
      </c>
      <c r="E437" s="5">
        <v>9995</v>
      </c>
      <c r="F437" s="5" t="s">
        <v>10</v>
      </c>
      <c r="G437" s="5" t="s">
        <v>11</v>
      </c>
      <c r="H437" s="3" t="s">
        <v>12</v>
      </c>
    </row>
    <row r="438" spans="1:8" ht="13.8" x14ac:dyDescent="0.25">
      <c r="A438" s="3" t="s">
        <v>8</v>
      </c>
      <c r="B438" s="3" t="s">
        <v>707</v>
      </c>
      <c r="C438" s="4" t="str">
        <f>HYPERLINK("http://www.rncp.cncp.gouv.fr/grand-public/visualisationFiche?format=fr&amp;fiche=17279","17279")</f>
        <v>17279</v>
      </c>
      <c r="D438" s="4" t="str">
        <f>HYPERLINK("http://www.intercariforef.org/formations/certification-81592.html","81592")</f>
        <v>81592</v>
      </c>
      <c r="E438" s="5">
        <v>10001</v>
      </c>
      <c r="F438" s="5" t="s">
        <v>10</v>
      </c>
      <c r="G438" s="5" t="s">
        <v>11</v>
      </c>
      <c r="H438" s="3" t="s">
        <v>708</v>
      </c>
    </row>
    <row r="439" spans="1:8" ht="13.8" x14ac:dyDescent="0.25">
      <c r="A439" s="3" t="s">
        <v>8</v>
      </c>
      <c r="B439" s="3" t="s">
        <v>709</v>
      </c>
      <c r="C439" s="4" t="str">
        <f>HYPERLINK("http://www.rncp.cncp.gouv.fr/grand-public/visualisationFiche?format=fr&amp;fiche=17282","17282")</f>
        <v>17282</v>
      </c>
      <c r="D439" s="4" t="str">
        <f>HYPERLINK("http://www.intercariforef.org/formations/certification-81595.html","81595")</f>
        <v>81595</v>
      </c>
      <c r="E439" s="5">
        <v>10003</v>
      </c>
      <c r="F439" s="5" t="s">
        <v>10</v>
      </c>
      <c r="G439" s="5" t="s">
        <v>11</v>
      </c>
      <c r="H439" s="3" t="s">
        <v>708</v>
      </c>
    </row>
    <row r="440" spans="1:8" ht="13.8" x14ac:dyDescent="0.25">
      <c r="A440" s="3" t="s">
        <v>8</v>
      </c>
      <c r="B440" s="3" t="s">
        <v>710</v>
      </c>
      <c r="C440" s="4" t="str">
        <f>HYPERLINK("http://www.rncp.cncp.gouv.fr/grand-public/visualisationFiche?format=fr&amp;fiche=22927","22927")</f>
        <v>22927</v>
      </c>
      <c r="D440" s="4" t="str">
        <f>HYPERLINK("http://www.intercariforef.org/formations/certification-54781.html","54781")</f>
        <v>54781</v>
      </c>
      <c r="E440" s="5">
        <v>10009</v>
      </c>
      <c r="F440" s="5" t="s">
        <v>10</v>
      </c>
      <c r="G440" s="5" t="s">
        <v>11</v>
      </c>
      <c r="H440" s="3" t="s">
        <v>711</v>
      </c>
    </row>
    <row r="441" spans="1:8" ht="27.6" x14ac:dyDescent="0.25">
      <c r="A441" s="3" t="s">
        <v>8</v>
      </c>
      <c r="B441" s="3" t="s">
        <v>712</v>
      </c>
      <c r="C441" s="4" t="str">
        <f>HYPERLINK("http://www.rncp.cncp.gouv.fr/grand-public/visualisationFiche?format=fr&amp;fiche=14709","14709")</f>
        <v>14709</v>
      </c>
      <c r="D441" s="4" t="str">
        <f>HYPERLINK("http://www.intercariforef.org/formations/certification-78242.html","78242")</f>
        <v>78242</v>
      </c>
      <c r="E441" s="5">
        <v>131811</v>
      </c>
      <c r="F441" s="5" t="s">
        <v>10</v>
      </c>
      <c r="G441" s="5" t="s">
        <v>11</v>
      </c>
      <c r="H441" s="3" t="s">
        <v>713</v>
      </c>
    </row>
    <row r="442" spans="1:8" ht="27.6" x14ac:dyDescent="0.25">
      <c r="A442" s="3" t="s">
        <v>8</v>
      </c>
      <c r="B442" s="3" t="s">
        <v>714</v>
      </c>
      <c r="C442" s="4" t="str">
        <f>HYPERLINK("http://www.rncp.cncp.gouv.fr/grand-public/visualisationFiche?format=fr&amp;fiche=17944","17944")</f>
        <v>17944</v>
      </c>
      <c r="D442" s="4" t="str">
        <f>HYPERLINK("http://www.intercariforef.org/formations/certification-75669.html","75669")</f>
        <v>75669</v>
      </c>
      <c r="E442" s="5">
        <v>145518</v>
      </c>
      <c r="F442" s="5" t="s">
        <v>10</v>
      </c>
      <c r="G442" s="5" t="s">
        <v>11</v>
      </c>
      <c r="H442" s="3" t="s">
        <v>715</v>
      </c>
    </row>
    <row r="443" spans="1:8" ht="27.6" x14ac:dyDescent="0.25">
      <c r="A443" s="3" t="s">
        <v>8</v>
      </c>
      <c r="B443" s="3" t="s">
        <v>716</v>
      </c>
      <c r="C443" s="4" t="str">
        <f>HYPERLINK("http://www.rncp.cncp.gouv.fr/grand-public/visualisationFiche?format=fr&amp;fiche=6661","6661")</f>
        <v>6661</v>
      </c>
      <c r="D443" s="4" t="str">
        <f>HYPERLINK("http://www.intercariforef.org/formations/certification-76515.html","76515")</f>
        <v>76515</v>
      </c>
      <c r="E443" s="5">
        <v>10046</v>
      </c>
      <c r="F443" s="5" t="s">
        <v>10</v>
      </c>
      <c r="G443" s="5" t="s">
        <v>11</v>
      </c>
      <c r="H443" s="3" t="s">
        <v>717</v>
      </c>
    </row>
    <row r="444" spans="1:8" ht="27.6" x14ac:dyDescent="0.25">
      <c r="A444" s="3" t="s">
        <v>8</v>
      </c>
      <c r="B444" s="3" t="s">
        <v>718</v>
      </c>
      <c r="C444" s="4" t="str">
        <f>HYPERLINK("http://www.rncp.cncp.gouv.fr/grand-public/visualisationFiche?format=fr&amp;fiche=18227","18227")</f>
        <v>18227</v>
      </c>
      <c r="D444" s="4" t="str">
        <f>HYPERLINK("http://www.intercariforef.org/formations/certification-10423.html","10423")</f>
        <v>10423</v>
      </c>
      <c r="E444" s="5">
        <v>131809</v>
      </c>
      <c r="F444" s="5" t="s">
        <v>10</v>
      </c>
      <c r="G444" s="5" t="s">
        <v>11</v>
      </c>
      <c r="H444" s="3" t="s">
        <v>715</v>
      </c>
    </row>
    <row r="445" spans="1:8" ht="13.8" x14ac:dyDescent="0.25">
      <c r="A445" s="3" t="s">
        <v>8</v>
      </c>
      <c r="B445" s="3" t="s">
        <v>719</v>
      </c>
      <c r="C445" s="4" t="str">
        <f>HYPERLINK("http://www.rncp.cncp.gouv.fr/grand-public/visualisationFiche?format=fr&amp;fiche=6663","6663")</f>
        <v>6663</v>
      </c>
      <c r="D445" s="4" t="str">
        <f>HYPERLINK("http://www.intercariforef.org/formations/certification-75145.html","75145")</f>
        <v>75145</v>
      </c>
      <c r="E445" s="5">
        <v>131831</v>
      </c>
      <c r="F445" s="5" t="s">
        <v>10</v>
      </c>
      <c r="G445" s="5" t="s">
        <v>11</v>
      </c>
      <c r="H445" s="3" t="s">
        <v>717</v>
      </c>
    </row>
    <row r="446" spans="1:8" ht="27.6" x14ac:dyDescent="0.25">
      <c r="A446" s="3" t="s">
        <v>8</v>
      </c>
      <c r="B446" s="3" t="s">
        <v>720</v>
      </c>
      <c r="C446" s="5"/>
      <c r="D446" s="4" t="str">
        <f>HYPERLINK("http://www.intercariforef.org/formations/certification-83917.html","83917")</f>
        <v>83917</v>
      </c>
      <c r="E446" s="5">
        <v>162709</v>
      </c>
      <c r="F446" s="5" t="s">
        <v>721</v>
      </c>
      <c r="G446" s="5" t="s">
        <v>11</v>
      </c>
      <c r="H446" s="3" t="s">
        <v>722</v>
      </c>
    </row>
    <row r="447" spans="1:8" ht="27.6" x14ac:dyDescent="0.25">
      <c r="A447" s="3" t="s">
        <v>8</v>
      </c>
      <c r="B447" s="3" t="s">
        <v>723</v>
      </c>
      <c r="C447" s="5"/>
      <c r="D447" s="4" t="str">
        <f>HYPERLINK("http://www.intercariforef.org/formations/certification-83920.html","83920")</f>
        <v>83920</v>
      </c>
      <c r="E447" s="5">
        <v>162710</v>
      </c>
      <c r="F447" s="5" t="s">
        <v>721</v>
      </c>
      <c r="G447" s="5" t="s">
        <v>11</v>
      </c>
      <c r="H447" s="3" t="s">
        <v>722</v>
      </c>
    </row>
    <row r="448" spans="1:8" ht="27.6" x14ac:dyDescent="0.25">
      <c r="A448" s="3" t="s">
        <v>8</v>
      </c>
      <c r="B448" s="3" t="s">
        <v>724</v>
      </c>
      <c r="C448" s="4" t="str">
        <f>HYPERLINK("http://www.rncp.cncp.gouv.fr/grand-public/visualisationFiche?format=fr&amp;fiche=18392","18392")</f>
        <v>18392</v>
      </c>
      <c r="D448" s="4" t="str">
        <f>HYPERLINK("http://www.intercariforef.org/formations/certification-75683.html","75683")</f>
        <v>75683</v>
      </c>
      <c r="E448" s="5">
        <v>10073</v>
      </c>
      <c r="F448" s="5" t="s">
        <v>10</v>
      </c>
      <c r="G448" s="5" t="s">
        <v>11</v>
      </c>
      <c r="H448" s="3" t="s">
        <v>715</v>
      </c>
    </row>
    <row r="449" spans="1:8" ht="27.6" x14ac:dyDescent="0.25">
      <c r="A449" s="3" t="s">
        <v>8</v>
      </c>
      <c r="B449" s="3" t="s">
        <v>725</v>
      </c>
      <c r="C449" s="4" t="str">
        <f>HYPERLINK("http://www.rncp.cncp.gouv.fr/grand-public/visualisationFiche?format=fr&amp;fiche=15981","15981")</f>
        <v>15981</v>
      </c>
      <c r="D449" s="4" t="str">
        <f>HYPERLINK("http://www.intercariforef.org/formations/certification-71966.html","71966")</f>
        <v>71966</v>
      </c>
      <c r="E449" s="5">
        <v>131812</v>
      </c>
      <c r="F449" s="5" t="s">
        <v>10</v>
      </c>
      <c r="G449" s="5" t="s">
        <v>11</v>
      </c>
      <c r="H449" s="3" t="s">
        <v>726</v>
      </c>
    </row>
    <row r="450" spans="1:8" ht="27.6" x14ac:dyDescent="0.25">
      <c r="A450" s="3" t="s">
        <v>8</v>
      </c>
      <c r="B450" s="3" t="s">
        <v>725</v>
      </c>
      <c r="C450" s="4" t="str">
        <f>HYPERLINK("http://www.rncp.cncp.gouv.fr/grand-public/visualisationFiche?format=fr&amp;fiche=15981","15981")</f>
        <v>15981</v>
      </c>
      <c r="D450" s="4" t="str">
        <f>HYPERLINK("http://www.intercariforef.org/formations/certification-72061.html","72061")</f>
        <v>72061</v>
      </c>
      <c r="E450" s="5">
        <v>131813</v>
      </c>
      <c r="F450" s="5" t="s">
        <v>10</v>
      </c>
      <c r="G450" s="5" t="s">
        <v>11</v>
      </c>
      <c r="H450" s="3" t="s">
        <v>538</v>
      </c>
    </row>
    <row r="451" spans="1:8" ht="27.6" x14ac:dyDescent="0.25">
      <c r="A451" s="3" t="s">
        <v>8</v>
      </c>
      <c r="B451" s="3" t="s">
        <v>727</v>
      </c>
      <c r="C451" s="4" t="str">
        <f>HYPERLINK("http://www.rncp.cncp.gouv.fr/grand-public/visualisationFiche?format=fr&amp;fiche=10112","10112")</f>
        <v>10112</v>
      </c>
      <c r="D451" s="4" t="str">
        <f>HYPERLINK("http://www.intercariforef.org/formations/certification-72062.html","72062")</f>
        <v>72062</v>
      </c>
      <c r="E451" s="5">
        <v>131814</v>
      </c>
      <c r="F451" s="5" t="s">
        <v>10</v>
      </c>
      <c r="G451" s="5" t="s">
        <v>11</v>
      </c>
      <c r="H451" s="3" t="s">
        <v>538</v>
      </c>
    </row>
    <row r="452" spans="1:8" ht="27.6" x14ac:dyDescent="0.25">
      <c r="A452" s="3" t="s">
        <v>8</v>
      </c>
      <c r="B452" s="3" t="s">
        <v>728</v>
      </c>
      <c r="C452" s="4" t="str">
        <f>HYPERLINK("http://www.rncp.cncp.gouv.fr/grand-public/visualisationFiche?format=fr&amp;fiche=10110","10110")</f>
        <v>10110</v>
      </c>
      <c r="D452" s="4" t="str">
        <f>HYPERLINK("http://www.intercariforef.org/formations/certification-65269.html","65269")</f>
        <v>65269</v>
      </c>
      <c r="E452" s="5">
        <v>131815</v>
      </c>
      <c r="F452" s="5" t="s">
        <v>10</v>
      </c>
      <c r="G452" s="5" t="s">
        <v>11</v>
      </c>
      <c r="H452" s="3" t="s">
        <v>538</v>
      </c>
    </row>
    <row r="453" spans="1:8" ht="27.6" x14ac:dyDescent="0.25">
      <c r="A453" s="3" t="s">
        <v>8</v>
      </c>
      <c r="B453" s="3" t="s">
        <v>729</v>
      </c>
      <c r="C453" s="4" t="str">
        <f>HYPERLINK("http://www.rncp.cncp.gouv.fr/grand-public/visualisationFiche?format=fr&amp;fiche=15546","15546")</f>
        <v>15546</v>
      </c>
      <c r="D453" s="4" t="str">
        <f>HYPERLINK("http://www.intercariforef.org/formations/certification-68545.html","68545")</f>
        <v>68545</v>
      </c>
      <c r="E453" s="5">
        <v>131816</v>
      </c>
      <c r="F453" s="5" t="s">
        <v>10</v>
      </c>
      <c r="G453" s="5" t="s">
        <v>11</v>
      </c>
      <c r="H453" s="3" t="s">
        <v>726</v>
      </c>
    </row>
    <row r="454" spans="1:8" ht="27.6" x14ac:dyDescent="0.25">
      <c r="A454" s="3" t="s">
        <v>8</v>
      </c>
      <c r="B454" s="3" t="s">
        <v>729</v>
      </c>
      <c r="C454" s="4" t="str">
        <f>HYPERLINK("http://www.rncp.cncp.gouv.fr/grand-public/visualisationFiche?format=fr&amp;fiche=15546","15546")</f>
        <v>15546</v>
      </c>
      <c r="D454" s="4" t="str">
        <f>HYPERLINK("http://www.intercariforef.org/formations/certification-72127.html","72127")</f>
        <v>72127</v>
      </c>
      <c r="E454" s="5">
        <v>131817</v>
      </c>
      <c r="F454" s="5" t="s">
        <v>10</v>
      </c>
      <c r="G454" s="5" t="s">
        <v>11</v>
      </c>
      <c r="H454" s="3" t="s">
        <v>538</v>
      </c>
    </row>
    <row r="455" spans="1:8" ht="27.6" x14ac:dyDescent="0.25">
      <c r="A455" s="3" t="s">
        <v>8</v>
      </c>
      <c r="B455" s="3" t="s">
        <v>730</v>
      </c>
      <c r="C455" s="4" t="str">
        <f>HYPERLINK("http://www.rncp.cncp.gouv.fr/grand-public/visualisationFiche?format=fr&amp;fiche=21525","21525")</f>
        <v>21525</v>
      </c>
      <c r="D455" s="4" t="str">
        <f>HYPERLINK("http://www.intercariforef.org/formations/certification-82385.html","82385")</f>
        <v>82385</v>
      </c>
      <c r="E455" s="5">
        <v>131798</v>
      </c>
      <c r="F455" s="5" t="s">
        <v>10</v>
      </c>
      <c r="G455" s="5" t="s">
        <v>11</v>
      </c>
      <c r="H455" s="3" t="s">
        <v>731</v>
      </c>
    </row>
    <row r="456" spans="1:8" ht="13.8" x14ac:dyDescent="0.25">
      <c r="A456" s="3" t="s">
        <v>8</v>
      </c>
      <c r="B456" s="3" t="s">
        <v>732</v>
      </c>
      <c r="C456" s="4" t="str">
        <f>HYPERLINK("http://www.rncp.cncp.gouv.fr/grand-public/visualisationFiche?format=fr&amp;fiche=10397","10397")</f>
        <v>10397</v>
      </c>
      <c r="D456" s="4" t="str">
        <f>HYPERLINK("http://www.intercariforef.org/formations/certification-66541.html","66541")</f>
        <v>66541</v>
      </c>
      <c r="E456" s="5">
        <v>131782</v>
      </c>
      <c r="F456" s="5" t="s">
        <v>10</v>
      </c>
      <c r="G456" s="5" t="s">
        <v>11</v>
      </c>
      <c r="H456" s="3" t="s">
        <v>733</v>
      </c>
    </row>
    <row r="457" spans="1:8" ht="13.8" x14ac:dyDescent="0.25">
      <c r="A457" s="3" t="s">
        <v>8</v>
      </c>
      <c r="B457" s="3" t="s">
        <v>732</v>
      </c>
      <c r="C457" s="4" t="str">
        <f>HYPERLINK("http://www.rncp.cncp.gouv.fr/grand-public/visualisationFiche?format=fr&amp;fiche=6330","6330")</f>
        <v>6330</v>
      </c>
      <c r="D457" s="4" t="str">
        <f>HYPERLINK("http://www.intercariforef.org/formations/certification-66540.html","66540")</f>
        <v>66540</v>
      </c>
      <c r="E457" s="5">
        <v>131781</v>
      </c>
      <c r="F457" s="5" t="s">
        <v>10</v>
      </c>
      <c r="G457" s="5" t="s">
        <v>11</v>
      </c>
      <c r="H457" s="3" t="s">
        <v>734</v>
      </c>
    </row>
    <row r="458" spans="1:8" ht="27.6" x14ac:dyDescent="0.25">
      <c r="A458" s="3" t="s">
        <v>8</v>
      </c>
      <c r="B458" s="3" t="s">
        <v>735</v>
      </c>
      <c r="C458" s="5"/>
      <c r="D458" s="4" t="str">
        <f>HYPERLINK("http://www.intercariforef.org/formations/certification-79388.html","79388")</f>
        <v>79388</v>
      </c>
      <c r="E458" s="5">
        <v>131797</v>
      </c>
      <c r="F458" s="5" t="s">
        <v>10</v>
      </c>
      <c r="G458" s="5" t="s">
        <v>11</v>
      </c>
      <c r="H458" s="3" t="s">
        <v>736</v>
      </c>
    </row>
    <row r="459" spans="1:8" ht="27.6" x14ac:dyDescent="0.25">
      <c r="A459" s="3" t="s">
        <v>8</v>
      </c>
      <c r="B459" s="3" t="s">
        <v>735</v>
      </c>
      <c r="C459" s="4" t="str">
        <f>HYPERLINK("http://www.rncp.cncp.gouv.fr/grand-public/visualisationFiche?format=fr&amp;fiche=11972","11972")</f>
        <v>11972</v>
      </c>
      <c r="D459" s="4" t="str">
        <f>HYPERLINK("http://www.intercariforef.org/formations/certification-69087.html","69087")</f>
        <v>69087</v>
      </c>
      <c r="E459" s="5">
        <v>131794</v>
      </c>
      <c r="F459" s="5" t="s">
        <v>10</v>
      </c>
      <c r="G459" s="5" t="s">
        <v>11</v>
      </c>
      <c r="H459" s="3" t="s">
        <v>737</v>
      </c>
    </row>
    <row r="460" spans="1:8" ht="27.6" x14ac:dyDescent="0.25">
      <c r="A460" s="3" t="s">
        <v>8</v>
      </c>
      <c r="B460" s="3" t="s">
        <v>738</v>
      </c>
      <c r="C460" s="4" t="str">
        <f>HYPERLINK("http://www.rncp.cncp.gouv.fr/grand-public/visualisationFiche?format=fr&amp;fiche=18953","18953")</f>
        <v>18953</v>
      </c>
      <c r="D460" s="4" t="str">
        <f>HYPERLINK("http://www.intercariforef.org/formations/certification-79121.html","79121")</f>
        <v>79121</v>
      </c>
      <c r="E460" s="5">
        <v>162708</v>
      </c>
      <c r="F460" s="5" t="s">
        <v>721</v>
      </c>
      <c r="G460" s="5" t="s">
        <v>11</v>
      </c>
      <c r="H460" s="3" t="s">
        <v>739</v>
      </c>
    </row>
    <row r="461" spans="1:8" ht="27.6" x14ac:dyDescent="0.25">
      <c r="A461" s="3" t="s">
        <v>8</v>
      </c>
      <c r="B461" s="3" t="s">
        <v>740</v>
      </c>
      <c r="C461" s="4" t="str">
        <f>HYPERLINK("http://www.rncp.cncp.gouv.fr/grand-public/visualisationFiche?format=fr&amp;fiche=10381","10381")</f>
        <v>10381</v>
      </c>
      <c r="D461" s="4" t="str">
        <f>HYPERLINK("http://www.intercariforef.org/formations/certification-62091.html","62091")</f>
        <v>62091</v>
      </c>
      <c r="E461" s="5">
        <v>162713</v>
      </c>
      <c r="F461" s="5" t="s">
        <v>721</v>
      </c>
      <c r="G461" s="5" t="s">
        <v>11</v>
      </c>
      <c r="H461" s="3" t="s">
        <v>733</v>
      </c>
    </row>
    <row r="462" spans="1:8" ht="27.6" x14ac:dyDescent="0.25">
      <c r="A462" s="3" t="s">
        <v>8</v>
      </c>
      <c r="B462" s="3" t="s">
        <v>741</v>
      </c>
      <c r="C462" s="4" t="str">
        <f>HYPERLINK("http://www.rncp.cncp.gouv.fr/grand-public/visualisationFiche?format=fr&amp;fiche=12226","12226")</f>
        <v>12226</v>
      </c>
      <c r="D462" s="4" t="str">
        <f>HYPERLINK("http://www.intercariforef.org/formations/certification-64621.html","64621")</f>
        <v>64621</v>
      </c>
      <c r="E462" s="5">
        <v>131772</v>
      </c>
      <c r="F462" s="5" t="s">
        <v>10</v>
      </c>
      <c r="G462" s="5" t="s">
        <v>11</v>
      </c>
      <c r="H462" s="3" t="s">
        <v>742</v>
      </c>
    </row>
    <row r="463" spans="1:8" ht="27.6" x14ac:dyDescent="0.25">
      <c r="A463" s="3" t="s">
        <v>8</v>
      </c>
      <c r="B463" s="3" t="s">
        <v>743</v>
      </c>
      <c r="C463" s="5"/>
      <c r="D463" s="4" t="str">
        <f>HYPERLINK("http://www.intercariforef.org/formations/certification-27438.html","27438")</f>
        <v>27438</v>
      </c>
      <c r="E463" s="5">
        <v>131778</v>
      </c>
      <c r="F463" s="5" t="s">
        <v>10</v>
      </c>
      <c r="G463" s="5" t="s">
        <v>11</v>
      </c>
      <c r="H463" s="3" t="s">
        <v>744</v>
      </c>
    </row>
    <row r="464" spans="1:8" ht="41.4" x14ac:dyDescent="0.25">
      <c r="A464" s="3" t="s">
        <v>8</v>
      </c>
      <c r="B464" s="3" t="s">
        <v>745</v>
      </c>
      <c r="C464" s="4" t="str">
        <f>HYPERLINK("http://www.rncp.cncp.gouv.fr/grand-public/visualisationFiche?format=fr&amp;fiche=12160","12160")</f>
        <v>12160</v>
      </c>
      <c r="D464" s="4" t="str">
        <f>HYPERLINK("http://www.intercariforef.org/formations/certification-52006.html","52006")</f>
        <v>52006</v>
      </c>
      <c r="E464" s="5">
        <v>10170</v>
      </c>
      <c r="F464" s="5" t="s">
        <v>10</v>
      </c>
      <c r="G464" s="5" t="s">
        <v>11</v>
      </c>
      <c r="H464" s="3" t="s">
        <v>746</v>
      </c>
    </row>
    <row r="465" spans="1:8" ht="27.6" x14ac:dyDescent="0.25">
      <c r="A465" s="3" t="s">
        <v>8</v>
      </c>
      <c r="B465" s="3" t="s">
        <v>747</v>
      </c>
      <c r="C465" s="4" t="str">
        <f>HYPERLINK("http://www.rncp.cncp.gouv.fr/grand-public/visualisationFiche?format=fr&amp;fiche=10351","10351")</f>
        <v>10351</v>
      </c>
      <c r="D465" s="4" t="str">
        <f>HYPERLINK("http://www.intercariforef.org/formations/certification-72152.html","72152")</f>
        <v>72152</v>
      </c>
      <c r="E465" s="5">
        <v>131823</v>
      </c>
      <c r="F465" s="5" t="s">
        <v>10</v>
      </c>
      <c r="G465" s="5" t="s">
        <v>11</v>
      </c>
      <c r="H465" s="3" t="s">
        <v>538</v>
      </c>
    </row>
    <row r="466" spans="1:8" ht="27.6" x14ac:dyDescent="0.25">
      <c r="A466" s="3" t="s">
        <v>8</v>
      </c>
      <c r="B466" s="3" t="s">
        <v>748</v>
      </c>
      <c r="C466" s="4" t="str">
        <f>HYPERLINK("http://www.rncp.cncp.gouv.fr/grand-public/visualisationFiche?format=fr&amp;fiche=6344","6344")</f>
        <v>6344</v>
      </c>
      <c r="D466" s="4" t="str">
        <f>HYPERLINK("http://www.intercariforef.org/formations/certification-27501.html","27501")</f>
        <v>27501</v>
      </c>
      <c r="E466" s="5">
        <v>145519</v>
      </c>
      <c r="F466" s="5" t="s">
        <v>10</v>
      </c>
      <c r="G466" s="5" t="s">
        <v>11</v>
      </c>
      <c r="H466" s="3" t="s">
        <v>734</v>
      </c>
    </row>
    <row r="467" spans="1:8" ht="27.6" x14ac:dyDescent="0.25">
      <c r="A467" s="3" t="s">
        <v>8</v>
      </c>
      <c r="B467" s="3" t="s">
        <v>749</v>
      </c>
      <c r="C467" s="4" t="str">
        <f>HYPERLINK("http://www.rncp.cncp.gouv.fr/grand-public/visualisationFiche?format=fr&amp;fiche=15891","15891")</f>
        <v>15891</v>
      </c>
      <c r="D467" s="4" t="str">
        <f>HYPERLINK("http://www.intercariforef.org/formations/certification-69834.html","69834")</f>
        <v>69834</v>
      </c>
      <c r="E467" s="5">
        <v>131822</v>
      </c>
      <c r="F467" s="5" t="s">
        <v>10</v>
      </c>
      <c r="G467" s="5" t="s">
        <v>11</v>
      </c>
      <c r="H467" s="3" t="s">
        <v>750</v>
      </c>
    </row>
    <row r="468" spans="1:8" ht="27.6" x14ac:dyDescent="0.25">
      <c r="A468" s="3" t="s">
        <v>8</v>
      </c>
      <c r="B468" s="3" t="s">
        <v>751</v>
      </c>
      <c r="C468" s="4" t="str">
        <f>HYPERLINK("http://www.rncp.cncp.gouv.fr/grand-public/visualisationFiche?format=fr&amp;fiche=16365","16365")</f>
        <v>16365</v>
      </c>
      <c r="D468" s="4" t="str">
        <f>HYPERLINK("http://www.intercariforef.org/formations/certification-65309.html","65309")</f>
        <v>65309</v>
      </c>
      <c r="E468" s="5">
        <v>131810</v>
      </c>
      <c r="F468" s="5" t="s">
        <v>10</v>
      </c>
      <c r="G468" s="5" t="s">
        <v>11</v>
      </c>
      <c r="H468" s="3" t="s">
        <v>112</v>
      </c>
    </row>
    <row r="469" spans="1:8" ht="27.6" x14ac:dyDescent="0.25">
      <c r="A469" s="3" t="s">
        <v>8</v>
      </c>
      <c r="B469" s="3" t="s">
        <v>752</v>
      </c>
      <c r="C469" s="5"/>
      <c r="D469" s="4" t="str">
        <f>HYPERLINK("http://www.intercariforef.org/formations/certification-72823.html","72823")</f>
        <v>72823</v>
      </c>
      <c r="E469" s="5">
        <v>131768</v>
      </c>
      <c r="F469" s="5" t="s">
        <v>10</v>
      </c>
      <c r="G469" s="5" t="s">
        <v>11</v>
      </c>
      <c r="H469" s="3" t="s">
        <v>753</v>
      </c>
    </row>
    <row r="470" spans="1:8" ht="27.6" x14ac:dyDescent="0.25">
      <c r="A470" s="3" t="s">
        <v>8</v>
      </c>
      <c r="B470" s="3" t="s">
        <v>754</v>
      </c>
      <c r="C470" s="4" t="str">
        <f>HYPERLINK("http://www.rncp.cncp.gouv.fr/grand-public/visualisationFiche?format=fr&amp;fiche=12900","12900")</f>
        <v>12900</v>
      </c>
      <c r="D470" s="4" t="str">
        <f>HYPERLINK("http://www.intercariforef.org/formations/certification-44309.html","44309")</f>
        <v>44309</v>
      </c>
      <c r="E470" s="5">
        <v>145517</v>
      </c>
      <c r="F470" s="5" t="s">
        <v>10</v>
      </c>
      <c r="G470" s="5" t="s">
        <v>11</v>
      </c>
      <c r="H470" s="3" t="s">
        <v>742</v>
      </c>
    </row>
    <row r="471" spans="1:8" ht="27.6" x14ac:dyDescent="0.25">
      <c r="A471" s="3" t="s">
        <v>8</v>
      </c>
      <c r="B471" s="3" t="s">
        <v>755</v>
      </c>
      <c r="C471" s="4" t="str">
        <f>HYPERLINK("http://www.rncp.cncp.gouv.fr/grand-public/visualisationFiche?format=fr&amp;fiche=14153","14153")</f>
        <v>14153</v>
      </c>
      <c r="D471" s="4" t="str">
        <f>HYPERLINK("http://www.intercariforef.org/formations/certification-9768.html","9768")</f>
        <v>9768</v>
      </c>
      <c r="E471" s="5">
        <v>131820</v>
      </c>
      <c r="F471" s="5" t="s">
        <v>10</v>
      </c>
      <c r="G471" s="5" t="s">
        <v>11</v>
      </c>
      <c r="H471" s="3" t="s">
        <v>756</v>
      </c>
    </row>
    <row r="472" spans="1:8" ht="27.6" x14ac:dyDescent="0.25">
      <c r="A472" s="3" t="s">
        <v>8</v>
      </c>
      <c r="B472" s="3" t="s">
        <v>757</v>
      </c>
      <c r="C472" s="4" t="str">
        <f>HYPERLINK("http://www.rncp.cncp.gouv.fr/grand-public/visualisationFiche?format=fr&amp;fiche=11409","11409")</f>
        <v>11409</v>
      </c>
      <c r="D472" s="4" t="str">
        <f>HYPERLINK("http://www.intercariforef.org/formations/certification-60502.html","60502")</f>
        <v>60502</v>
      </c>
      <c r="E472" s="5">
        <v>162714</v>
      </c>
      <c r="F472" s="5" t="s">
        <v>721</v>
      </c>
      <c r="G472" s="5" t="s">
        <v>11</v>
      </c>
      <c r="H472" s="3" t="s">
        <v>758</v>
      </c>
    </row>
    <row r="473" spans="1:8" ht="27.6" x14ac:dyDescent="0.25">
      <c r="A473" s="3" t="s">
        <v>8</v>
      </c>
      <c r="B473" s="3" t="s">
        <v>759</v>
      </c>
      <c r="C473" s="5"/>
      <c r="D473" s="4" t="str">
        <f>HYPERLINK("http://www.intercariforef.org/formations/certification-66700.html","66700")</f>
        <v>66700</v>
      </c>
      <c r="E473" s="5">
        <v>156416</v>
      </c>
      <c r="F473" s="5" t="s">
        <v>10</v>
      </c>
      <c r="G473" s="5" t="s">
        <v>11</v>
      </c>
      <c r="H473" s="3" t="s">
        <v>715</v>
      </c>
    </row>
    <row r="474" spans="1:8" ht="27.6" x14ac:dyDescent="0.25">
      <c r="A474" s="3" t="s">
        <v>8</v>
      </c>
      <c r="B474" s="3" t="s">
        <v>759</v>
      </c>
      <c r="C474" s="5"/>
      <c r="D474" s="4" t="str">
        <f>HYPERLINK("http://www.intercariforef.org/formations/certification-82436.html","82436")</f>
        <v>82436</v>
      </c>
      <c r="E474" s="5">
        <v>156418</v>
      </c>
      <c r="F474" s="5" t="s">
        <v>10</v>
      </c>
      <c r="G474" s="5" t="s">
        <v>11</v>
      </c>
      <c r="H474" s="3" t="s">
        <v>760</v>
      </c>
    </row>
    <row r="475" spans="1:8" ht="27.6" x14ac:dyDescent="0.25">
      <c r="A475" s="3" t="s">
        <v>8</v>
      </c>
      <c r="B475" s="3" t="s">
        <v>759</v>
      </c>
      <c r="C475" s="5"/>
      <c r="D475" s="4" t="str">
        <f>HYPERLINK("http://www.intercariforef.org/formations/certification-75885.html","75885")</f>
        <v>75885</v>
      </c>
      <c r="E475" s="5">
        <v>156417</v>
      </c>
      <c r="F475" s="5" t="s">
        <v>10</v>
      </c>
      <c r="G475" s="5" t="s">
        <v>11</v>
      </c>
      <c r="H475" s="3" t="s">
        <v>164</v>
      </c>
    </row>
    <row r="476" spans="1:8" ht="27.6" x14ac:dyDescent="0.25">
      <c r="A476" s="3" t="s">
        <v>8</v>
      </c>
      <c r="B476" s="3" t="s">
        <v>761</v>
      </c>
      <c r="C476" s="4" t="str">
        <f>HYPERLINK("http://www.rncp.cncp.gouv.fr/grand-public/visualisationFiche?format=fr&amp;fiche=18504","18504")</f>
        <v>18504</v>
      </c>
      <c r="D476" s="4" t="str">
        <f>HYPERLINK("http://www.intercariforef.org/formations/certification-66703.html","66703")</f>
        <v>66703</v>
      </c>
      <c r="E476" s="5">
        <v>155044</v>
      </c>
      <c r="F476" s="5" t="s">
        <v>10</v>
      </c>
      <c r="G476" s="5" t="s">
        <v>11</v>
      </c>
      <c r="H476" s="3" t="s">
        <v>715</v>
      </c>
    </row>
    <row r="477" spans="1:8" ht="27.6" x14ac:dyDescent="0.25">
      <c r="A477" s="3" t="s">
        <v>8</v>
      </c>
      <c r="B477" s="3" t="s">
        <v>762</v>
      </c>
      <c r="C477" s="4" t="str">
        <f>HYPERLINK("http://www.rncp.cncp.gouv.fr/grand-public/visualisationFiche?format=fr&amp;fiche=16022","16022")</f>
        <v>16022</v>
      </c>
      <c r="D477" s="4" t="str">
        <f>HYPERLINK("http://www.intercariforef.org/formations/certification-82578.html","82578")</f>
        <v>82578</v>
      </c>
      <c r="E477" s="5">
        <v>150684</v>
      </c>
      <c r="F477" s="5" t="s">
        <v>10</v>
      </c>
      <c r="G477" s="5" t="s">
        <v>11</v>
      </c>
      <c r="H477" s="3" t="s">
        <v>763</v>
      </c>
    </row>
    <row r="478" spans="1:8" ht="27.6" x14ac:dyDescent="0.25">
      <c r="A478" s="3" t="s">
        <v>8</v>
      </c>
      <c r="B478" s="3" t="s">
        <v>764</v>
      </c>
      <c r="C478" s="4" t="str">
        <f>HYPERLINK("http://www.rncp.cncp.gouv.fr/grand-public/visualisationFiche?format=fr&amp;fiche=15378","15378")</f>
        <v>15378</v>
      </c>
      <c r="D478" s="4" t="str">
        <f>HYPERLINK("http://www.intercariforef.org/formations/certification-72795.html","72795")</f>
        <v>72795</v>
      </c>
      <c r="E478" s="5">
        <v>131826</v>
      </c>
      <c r="F478" s="5" t="s">
        <v>10</v>
      </c>
      <c r="G478" s="5" t="s">
        <v>11</v>
      </c>
      <c r="H478" s="3" t="s">
        <v>753</v>
      </c>
    </row>
    <row r="479" spans="1:8" ht="27.6" x14ac:dyDescent="0.25">
      <c r="A479" s="3" t="s">
        <v>8</v>
      </c>
      <c r="B479" s="3" t="s">
        <v>765</v>
      </c>
      <c r="C479" s="5"/>
      <c r="D479" s="4" t="str">
        <f>HYPERLINK("http://www.intercariforef.org/formations/certification-76011.html","76011")</f>
        <v>76011</v>
      </c>
      <c r="E479" s="5">
        <v>131827</v>
      </c>
      <c r="F479" s="5" t="s">
        <v>10</v>
      </c>
      <c r="G479" s="5" t="s">
        <v>11</v>
      </c>
      <c r="H479" s="3" t="s">
        <v>766</v>
      </c>
    </row>
    <row r="480" spans="1:8" ht="27.6" x14ac:dyDescent="0.25">
      <c r="A480" s="3" t="s">
        <v>8</v>
      </c>
      <c r="B480" s="3" t="s">
        <v>767</v>
      </c>
      <c r="C480" s="5"/>
      <c r="D480" s="4" t="str">
        <f>HYPERLINK("http://www.intercariforef.org/formations/certification-75603.html","75603")</f>
        <v>75603</v>
      </c>
      <c r="E480" s="5">
        <v>145521</v>
      </c>
      <c r="F480" s="5" t="s">
        <v>10</v>
      </c>
      <c r="G480" s="5" t="s">
        <v>11</v>
      </c>
      <c r="H480" s="3" t="s">
        <v>34</v>
      </c>
    </row>
    <row r="481" spans="1:8" ht="27.6" x14ac:dyDescent="0.25">
      <c r="A481" s="3" t="s">
        <v>8</v>
      </c>
      <c r="B481" s="3" t="s">
        <v>768</v>
      </c>
      <c r="C481" s="4" t="str">
        <f>HYPERLINK("http://www.rncp.cncp.gouv.fr/grand-public/visualisationFiche?format=fr&amp;fiche=20550","20550")</f>
        <v>20550</v>
      </c>
      <c r="D481" s="4" t="str">
        <f>HYPERLINK("http://www.intercariforef.org/formations/certification-78711.html","78711")</f>
        <v>78711</v>
      </c>
      <c r="E481" s="5">
        <v>145520</v>
      </c>
      <c r="F481" s="5" t="s">
        <v>10</v>
      </c>
      <c r="G481" s="5" t="s">
        <v>11</v>
      </c>
      <c r="H481" s="3" t="s">
        <v>769</v>
      </c>
    </row>
    <row r="482" spans="1:8" ht="27.6" x14ac:dyDescent="0.25">
      <c r="A482" s="3" t="s">
        <v>8</v>
      </c>
      <c r="B482" s="3" t="s">
        <v>770</v>
      </c>
      <c r="C482" s="4" t="str">
        <f>HYPERLINK("http://www.rncp.cncp.gouv.fr/grand-public/visualisationFiche?format=fr&amp;fiche=12488","12488")</f>
        <v>12488</v>
      </c>
      <c r="D482" s="4" t="str">
        <f>HYPERLINK("http://www.intercariforef.org/formations/certification-74088.html","74088")</f>
        <v>74088</v>
      </c>
      <c r="E482" s="5">
        <v>10222</v>
      </c>
      <c r="F482" s="5" t="s">
        <v>10</v>
      </c>
      <c r="G482" s="5" t="s">
        <v>11</v>
      </c>
      <c r="H482" s="3" t="s">
        <v>771</v>
      </c>
    </row>
    <row r="483" spans="1:8" ht="27.6" x14ac:dyDescent="0.25">
      <c r="A483" s="3" t="s">
        <v>8</v>
      </c>
      <c r="B483" s="3" t="s">
        <v>772</v>
      </c>
      <c r="C483" s="4" t="str">
        <f>HYPERLINK("http://www.rncp.cncp.gouv.fr/grand-public/visualisationFiche?format=fr&amp;fiche=6329","6329")</f>
        <v>6329</v>
      </c>
      <c r="D483" s="4" t="str">
        <f>HYPERLINK("http://www.intercariforef.org/formations/certification-79636.html","79636")</f>
        <v>79636</v>
      </c>
      <c r="E483" s="5">
        <v>10014</v>
      </c>
      <c r="F483" s="5" t="s">
        <v>10</v>
      </c>
      <c r="G483" s="5" t="s">
        <v>11</v>
      </c>
      <c r="H483" s="3" t="s">
        <v>750</v>
      </c>
    </row>
    <row r="484" spans="1:8" ht="27.6" x14ac:dyDescent="0.25">
      <c r="A484" s="3" t="s">
        <v>8</v>
      </c>
      <c r="B484" s="3" t="s">
        <v>773</v>
      </c>
      <c r="C484" s="5"/>
      <c r="D484" s="4" t="str">
        <f>HYPERLINK("http://www.intercariforef.org/formations/certification-61912.html","61912")</f>
        <v>61912</v>
      </c>
      <c r="E484" s="5">
        <v>131780</v>
      </c>
      <c r="F484" s="5" t="s">
        <v>10</v>
      </c>
      <c r="G484" s="5" t="s">
        <v>11</v>
      </c>
      <c r="H484" s="3" t="s">
        <v>774</v>
      </c>
    </row>
    <row r="485" spans="1:8" ht="27.6" x14ac:dyDescent="0.25">
      <c r="A485" s="3" t="s">
        <v>8</v>
      </c>
      <c r="B485" s="3" t="s">
        <v>775</v>
      </c>
      <c r="C485" s="5"/>
      <c r="D485" s="4" t="str">
        <f>HYPERLINK("http://www.intercariforef.org/formations/certification-27394.html","27394")</f>
        <v>27394</v>
      </c>
      <c r="E485" s="5">
        <v>131776</v>
      </c>
      <c r="F485" s="5" t="s">
        <v>10</v>
      </c>
      <c r="G485" s="5" t="s">
        <v>11</v>
      </c>
      <c r="H485" s="3" t="s">
        <v>776</v>
      </c>
    </row>
    <row r="486" spans="1:8" ht="27.6" x14ac:dyDescent="0.25">
      <c r="A486" s="3" t="s">
        <v>8</v>
      </c>
      <c r="B486" s="3" t="s">
        <v>777</v>
      </c>
      <c r="C486" s="4" t="str">
        <f>HYPERLINK("http://www.rncp.cncp.gouv.fr/grand-public/visualisationFiche?format=fr&amp;fiche=6191","6191")</f>
        <v>6191</v>
      </c>
      <c r="D486" s="4" t="str">
        <f>HYPERLINK("http://www.intercariforef.org/formations/certification-10999.html","10999")</f>
        <v>10999</v>
      </c>
      <c r="E486" s="5">
        <v>10243</v>
      </c>
      <c r="F486" s="5" t="s">
        <v>10</v>
      </c>
      <c r="G486" s="5" t="s">
        <v>11</v>
      </c>
      <c r="H486" s="3" t="s">
        <v>776</v>
      </c>
    </row>
    <row r="487" spans="1:8" ht="27.6" x14ac:dyDescent="0.25">
      <c r="A487" s="3" t="s">
        <v>8</v>
      </c>
      <c r="B487" s="3" t="s">
        <v>778</v>
      </c>
      <c r="C487" s="5"/>
      <c r="D487" s="4" t="str">
        <f>HYPERLINK("http://www.intercariforef.org/formations/certification-72991.html","72991")</f>
        <v>72991</v>
      </c>
      <c r="E487" s="5">
        <v>131830</v>
      </c>
      <c r="F487" s="5" t="s">
        <v>10</v>
      </c>
      <c r="G487" s="5" t="s">
        <v>11</v>
      </c>
      <c r="H487" s="3" t="s">
        <v>779</v>
      </c>
    </row>
    <row r="488" spans="1:8" ht="27.6" x14ac:dyDescent="0.25">
      <c r="A488" s="3" t="s">
        <v>8</v>
      </c>
      <c r="B488" s="3" t="s">
        <v>780</v>
      </c>
      <c r="C488" s="4" t="str">
        <f>HYPERLINK("http://www.rncp.cncp.gouv.fr/grand-public/visualisationFiche?format=fr&amp;fiche=12807","12807")</f>
        <v>12807</v>
      </c>
      <c r="D488" s="4" t="str">
        <f>HYPERLINK("http://www.intercariforef.org/formations/certification-75541.html","75541")</f>
        <v>75541</v>
      </c>
      <c r="E488" s="5">
        <v>131838</v>
      </c>
      <c r="F488" s="5" t="s">
        <v>10</v>
      </c>
      <c r="G488" s="5" t="s">
        <v>11</v>
      </c>
      <c r="H488" s="3" t="s">
        <v>756</v>
      </c>
    </row>
    <row r="489" spans="1:8" ht="27.6" x14ac:dyDescent="0.25">
      <c r="A489" s="3" t="s">
        <v>8</v>
      </c>
      <c r="B489" s="3" t="s">
        <v>780</v>
      </c>
      <c r="C489" s="4" t="str">
        <f>HYPERLINK("http://www.rncp.cncp.gouv.fr/grand-public/visualisationFiche?format=fr&amp;fiche=11414","11414")</f>
        <v>11414</v>
      </c>
      <c r="D489" s="4" t="str">
        <f>HYPERLINK("http://www.intercariforef.org/formations/certification-60565.html","60565")</f>
        <v>60565</v>
      </c>
      <c r="E489" s="5">
        <v>131833</v>
      </c>
      <c r="F489" s="5" t="s">
        <v>10</v>
      </c>
      <c r="G489" s="5" t="s">
        <v>11</v>
      </c>
      <c r="H489" s="3" t="s">
        <v>758</v>
      </c>
    </row>
    <row r="490" spans="1:8" ht="27.6" x14ac:dyDescent="0.25">
      <c r="A490" s="3" t="s">
        <v>8</v>
      </c>
      <c r="B490" s="3" t="s">
        <v>781</v>
      </c>
      <c r="C490" s="5"/>
      <c r="D490" s="4" t="str">
        <f>HYPERLINK("http://www.intercariforef.org/formations/certification-76024.html","76024")</f>
        <v>76024</v>
      </c>
      <c r="E490" s="5">
        <v>10251</v>
      </c>
      <c r="F490" s="5" t="s">
        <v>10</v>
      </c>
      <c r="G490" s="5" t="s">
        <v>11</v>
      </c>
      <c r="H490" s="3" t="s">
        <v>766</v>
      </c>
    </row>
    <row r="491" spans="1:8" ht="27.6" x14ac:dyDescent="0.25">
      <c r="A491" s="3" t="s">
        <v>8</v>
      </c>
      <c r="B491" s="3" t="s">
        <v>782</v>
      </c>
      <c r="C491" s="5"/>
      <c r="D491" s="4" t="str">
        <f>HYPERLINK("http://www.intercariforef.org/formations/certification-27429.html","27429")</f>
        <v>27429</v>
      </c>
      <c r="E491" s="5">
        <v>131777</v>
      </c>
      <c r="F491" s="5" t="s">
        <v>10</v>
      </c>
      <c r="G491" s="5" t="s">
        <v>11</v>
      </c>
      <c r="H491" s="3" t="s">
        <v>783</v>
      </c>
    </row>
    <row r="492" spans="1:8" ht="27.6" x14ac:dyDescent="0.25">
      <c r="A492" s="3" t="s">
        <v>8</v>
      </c>
      <c r="B492" s="3" t="s">
        <v>782</v>
      </c>
      <c r="C492" s="5"/>
      <c r="D492" s="4" t="str">
        <f>HYPERLINK("http://www.intercariforef.org/formations/certification-66740.html","66740")</f>
        <v>66740</v>
      </c>
      <c r="E492" s="5">
        <v>131784</v>
      </c>
      <c r="F492" s="5" t="s">
        <v>10</v>
      </c>
      <c r="G492" s="5" t="s">
        <v>11</v>
      </c>
      <c r="H492" s="3" t="s">
        <v>784</v>
      </c>
    </row>
    <row r="493" spans="1:8" ht="27.6" x14ac:dyDescent="0.25">
      <c r="A493" s="3" t="s">
        <v>8</v>
      </c>
      <c r="B493" s="3" t="s">
        <v>782</v>
      </c>
      <c r="C493" s="4" t="str">
        <f>HYPERLINK("http://www.rncp.cncp.gouv.fr/grand-public/visualisationFiche?format=fr&amp;fiche=17315","17315")</f>
        <v>17315</v>
      </c>
      <c r="D493" s="4" t="str">
        <f>HYPERLINK("http://www.intercariforef.org/formations/certification-66747.html","66747")</f>
        <v>66747</v>
      </c>
      <c r="E493" s="5">
        <v>131783</v>
      </c>
      <c r="F493" s="5" t="s">
        <v>10</v>
      </c>
      <c r="G493" s="5" t="s">
        <v>11</v>
      </c>
      <c r="H493" s="3" t="s">
        <v>785</v>
      </c>
    </row>
    <row r="494" spans="1:8" ht="27.6" x14ac:dyDescent="0.25">
      <c r="A494" s="3" t="s">
        <v>8</v>
      </c>
      <c r="B494" s="3" t="s">
        <v>782</v>
      </c>
      <c r="C494" s="4" t="str">
        <f>HYPERLINK("http://www.rncp.cncp.gouv.fr/grand-public/visualisationFiche?format=fr&amp;fiche=20576","20576")</f>
        <v>20576</v>
      </c>
      <c r="D494" s="4" t="str">
        <f>HYPERLINK("http://www.intercariforef.org/formations/certification-66752.html","66752")</f>
        <v>66752</v>
      </c>
      <c r="E494" s="5">
        <v>131791</v>
      </c>
      <c r="F494" s="5" t="s">
        <v>10</v>
      </c>
      <c r="G494" s="5" t="s">
        <v>11</v>
      </c>
      <c r="H494" s="3" t="s">
        <v>786</v>
      </c>
    </row>
    <row r="495" spans="1:8" ht="27.6" x14ac:dyDescent="0.25">
      <c r="A495" s="3" t="s">
        <v>8</v>
      </c>
      <c r="B495" s="3" t="s">
        <v>782</v>
      </c>
      <c r="C495" s="5"/>
      <c r="D495" s="4" t="str">
        <f>HYPERLINK("http://www.intercariforef.org/formations/certification-66742.html","66742")</f>
        <v>66742</v>
      </c>
      <c r="E495" s="5">
        <v>131786</v>
      </c>
      <c r="F495" s="5" t="s">
        <v>10</v>
      </c>
      <c r="G495" s="5" t="s">
        <v>11</v>
      </c>
      <c r="H495" s="3" t="s">
        <v>787</v>
      </c>
    </row>
    <row r="496" spans="1:8" ht="27.6" x14ac:dyDescent="0.25">
      <c r="A496" s="3" t="s">
        <v>8</v>
      </c>
      <c r="B496" s="3" t="s">
        <v>782</v>
      </c>
      <c r="C496" s="5"/>
      <c r="D496" s="4" t="str">
        <f>HYPERLINK("http://www.intercariforef.org/formations/certification-66743.html","66743")</f>
        <v>66743</v>
      </c>
      <c r="E496" s="5">
        <v>131787</v>
      </c>
      <c r="F496" s="5" t="s">
        <v>10</v>
      </c>
      <c r="G496" s="5" t="s">
        <v>11</v>
      </c>
      <c r="H496" s="3" t="s">
        <v>788</v>
      </c>
    </row>
    <row r="497" spans="1:8" ht="27.6" x14ac:dyDescent="0.25">
      <c r="A497" s="3" t="s">
        <v>8</v>
      </c>
      <c r="B497" s="3" t="s">
        <v>782</v>
      </c>
      <c r="C497" s="4" t="str">
        <f>HYPERLINK("http://www.rncp.cncp.gouv.fr/grand-public/visualisationFiche?format=fr&amp;fiche=14366","14366")</f>
        <v>14366</v>
      </c>
      <c r="D497" s="4" t="str">
        <f>HYPERLINK("http://www.intercariforef.org/formations/certification-66744.html","66744")</f>
        <v>66744</v>
      </c>
      <c r="E497" s="5">
        <v>131788</v>
      </c>
      <c r="F497" s="5" t="s">
        <v>10</v>
      </c>
      <c r="G497" s="5" t="s">
        <v>11</v>
      </c>
      <c r="H497" s="3" t="s">
        <v>756</v>
      </c>
    </row>
    <row r="498" spans="1:8" ht="27.6" x14ac:dyDescent="0.25">
      <c r="A498" s="3" t="s">
        <v>8</v>
      </c>
      <c r="B498" s="3" t="s">
        <v>782</v>
      </c>
      <c r="C498" s="4" t="str">
        <f>HYPERLINK("http://www.rncp.cncp.gouv.fr/grand-public/visualisationFiche?format=fr&amp;fiche=14118","14118")</f>
        <v>14118</v>
      </c>
      <c r="D498" s="4" t="str">
        <f>HYPERLINK("http://www.intercariforef.org/formations/certification-66751.html","66751")</f>
        <v>66751</v>
      </c>
      <c r="E498" s="5">
        <v>131789</v>
      </c>
      <c r="F498" s="5" t="s">
        <v>10</v>
      </c>
      <c r="G498" s="5" t="s">
        <v>11</v>
      </c>
      <c r="H498" s="3" t="s">
        <v>763</v>
      </c>
    </row>
    <row r="499" spans="1:8" ht="27.6" x14ac:dyDescent="0.25">
      <c r="A499" s="3" t="s">
        <v>8</v>
      </c>
      <c r="B499" s="3" t="s">
        <v>782</v>
      </c>
      <c r="C499" s="5"/>
      <c r="D499" s="4" t="str">
        <f>HYPERLINK("http://www.intercariforef.org/formations/certification-66748.html","66748")</f>
        <v>66748</v>
      </c>
      <c r="E499" s="5">
        <v>131785</v>
      </c>
      <c r="F499" s="5" t="s">
        <v>10</v>
      </c>
      <c r="G499" s="5" t="s">
        <v>11</v>
      </c>
      <c r="H499" s="3" t="s">
        <v>789</v>
      </c>
    </row>
    <row r="500" spans="1:8" ht="27.6" x14ac:dyDescent="0.25">
      <c r="A500" s="3" t="s">
        <v>8</v>
      </c>
      <c r="B500" s="3" t="s">
        <v>782</v>
      </c>
      <c r="C500" s="4" t="str">
        <f>HYPERLINK("http://www.rncp.cncp.gouv.fr/grand-public/visualisationFiche?format=fr&amp;fiche=16479","16479")</f>
        <v>16479</v>
      </c>
      <c r="D500" s="4" t="str">
        <f>HYPERLINK("http://www.intercariforef.org/formations/certification-78816.html","78816")</f>
        <v>78816</v>
      </c>
      <c r="E500" s="5">
        <v>131796</v>
      </c>
      <c r="F500" s="5" t="s">
        <v>10</v>
      </c>
      <c r="G500" s="5" t="s">
        <v>11</v>
      </c>
      <c r="H500" s="3" t="s">
        <v>112</v>
      </c>
    </row>
    <row r="501" spans="1:8" ht="27.6" x14ac:dyDescent="0.25">
      <c r="A501" s="3" t="s">
        <v>8</v>
      </c>
      <c r="B501" s="3" t="s">
        <v>790</v>
      </c>
      <c r="C501" s="4" t="str">
        <f>HYPERLINK("http://www.rncp.cncp.gouv.fr/grand-public/visualisationFiche?format=fr&amp;fiche=6819","6819")</f>
        <v>6819</v>
      </c>
      <c r="D501" s="4" t="str">
        <f>HYPERLINK("http://www.intercariforef.org/formations/certification-27495.html","27495")</f>
        <v>27495</v>
      </c>
      <c r="E501" s="5">
        <v>131832</v>
      </c>
      <c r="F501" s="5" t="s">
        <v>10</v>
      </c>
      <c r="G501" s="5" t="s">
        <v>11</v>
      </c>
      <c r="H501" s="3" t="s">
        <v>783</v>
      </c>
    </row>
    <row r="502" spans="1:8" ht="27.6" x14ac:dyDescent="0.25">
      <c r="A502" s="3" t="s">
        <v>8</v>
      </c>
      <c r="B502" s="3" t="s">
        <v>791</v>
      </c>
      <c r="C502" s="4" t="str">
        <f>HYPERLINK("http://www.rncp.cncp.gouv.fr/grand-public/visualisationFiche?format=fr&amp;fiche=14367","14367")</f>
        <v>14367</v>
      </c>
      <c r="D502" s="4" t="str">
        <f>HYPERLINK("http://www.intercariforef.org/formations/certification-57634.html","57634")</f>
        <v>57634</v>
      </c>
      <c r="E502" s="5">
        <v>162712</v>
      </c>
      <c r="F502" s="5" t="s">
        <v>721</v>
      </c>
      <c r="G502" s="5" t="s">
        <v>11</v>
      </c>
      <c r="H502" s="3" t="s">
        <v>756</v>
      </c>
    </row>
    <row r="503" spans="1:8" ht="27.6" x14ac:dyDescent="0.25">
      <c r="A503" s="3" t="s">
        <v>8</v>
      </c>
      <c r="B503" s="3" t="s">
        <v>792</v>
      </c>
      <c r="C503" s="4" t="str">
        <f>HYPERLINK("http://www.rncp.cncp.gouv.fr/grand-public/visualisationFiche?format=fr&amp;fiche=17931","17931")</f>
        <v>17931</v>
      </c>
      <c r="D503" s="4" t="str">
        <f>HYPERLINK("http://www.intercariforef.org/formations/certification-78817.html","78817")</f>
        <v>78817</v>
      </c>
      <c r="E503" s="5">
        <v>131839</v>
      </c>
      <c r="F503" s="5" t="s">
        <v>10</v>
      </c>
      <c r="G503" s="5" t="s">
        <v>11</v>
      </c>
      <c r="H503" s="3" t="s">
        <v>112</v>
      </c>
    </row>
    <row r="504" spans="1:8" ht="27.6" x14ac:dyDescent="0.25">
      <c r="A504" s="3" t="s">
        <v>8</v>
      </c>
      <c r="B504" s="3" t="s">
        <v>792</v>
      </c>
      <c r="C504" s="4" t="str">
        <f>HYPERLINK("http://www.rncp.cncp.gouv.fr/grand-public/visualisationFiche?format=fr&amp;fiche=10633","10633")</f>
        <v>10633</v>
      </c>
      <c r="D504" s="4" t="str">
        <f>HYPERLINK("http://www.intercariforef.org/formations/certification-66767.html","66767")</f>
        <v>66767</v>
      </c>
      <c r="E504" s="5">
        <v>131836</v>
      </c>
      <c r="F504" s="5" t="s">
        <v>10</v>
      </c>
      <c r="G504" s="5" t="s">
        <v>11</v>
      </c>
      <c r="H504" s="3" t="s">
        <v>733</v>
      </c>
    </row>
    <row r="505" spans="1:8" ht="27.6" x14ac:dyDescent="0.25">
      <c r="A505" s="3" t="s">
        <v>8</v>
      </c>
      <c r="B505" s="3" t="s">
        <v>792</v>
      </c>
      <c r="C505" s="4" t="str">
        <f>HYPERLINK("http://www.rncp.cncp.gouv.fr/grand-public/visualisationFiche?format=fr&amp;fiche=6376","6376")</f>
        <v>6376</v>
      </c>
      <c r="D505" s="4" t="str">
        <f>HYPERLINK("http://www.intercariforef.org/formations/certification-66766.html","66766")</f>
        <v>66766</v>
      </c>
      <c r="E505" s="5">
        <v>131835</v>
      </c>
      <c r="F505" s="5" t="s">
        <v>10</v>
      </c>
      <c r="G505" s="5" t="s">
        <v>11</v>
      </c>
      <c r="H505" s="3" t="s">
        <v>734</v>
      </c>
    </row>
    <row r="506" spans="1:8" ht="27.6" x14ac:dyDescent="0.25">
      <c r="A506" s="3" t="s">
        <v>8</v>
      </c>
      <c r="B506" s="3" t="s">
        <v>792</v>
      </c>
      <c r="C506" s="5"/>
      <c r="D506" s="4" t="str">
        <f>HYPERLINK("http://www.intercariforef.org/formations/certification-65858.html","65858")</f>
        <v>65858</v>
      </c>
      <c r="E506" s="5">
        <v>131834</v>
      </c>
      <c r="F506" s="5" t="s">
        <v>10</v>
      </c>
      <c r="G506" s="5" t="s">
        <v>11</v>
      </c>
      <c r="H506" s="3" t="s">
        <v>737</v>
      </c>
    </row>
    <row r="507" spans="1:8" ht="27.6" x14ac:dyDescent="0.25">
      <c r="A507" s="3" t="s">
        <v>8</v>
      </c>
      <c r="B507" s="3" t="s">
        <v>793</v>
      </c>
      <c r="C507" s="4" t="str">
        <f>HYPERLINK("http://www.rncp.cncp.gouv.fr/grand-public/visualisationFiche?format=fr&amp;fiche=17058","17058")</f>
        <v>17058</v>
      </c>
      <c r="D507" s="4" t="str">
        <f>HYPERLINK("http://www.intercariforef.org/formations/certification-78025.html","78025")</f>
        <v>78025</v>
      </c>
      <c r="E507" s="5">
        <v>10253</v>
      </c>
      <c r="F507" s="5" t="s">
        <v>10</v>
      </c>
      <c r="G507" s="5" t="s">
        <v>11</v>
      </c>
      <c r="H507" s="3" t="s">
        <v>734</v>
      </c>
    </row>
    <row r="508" spans="1:8" ht="27.6" x14ac:dyDescent="0.25">
      <c r="A508" s="3" t="s">
        <v>8</v>
      </c>
      <c r="B508" s="3" t="s">
        <v>794</v>
      </c>
      <c r="C508" s="5"/>
      <c r="D508" s="4" t="str">
        <f>HYPERLINK("http://www.intercariforef.org/formations/certification-58649.html","58649")</f>
        <v>58649</v>
      </c>
      <c r="E508" s="5">
        <v>131773</v>
      </c>
      <c r="F508" s="5" t="s">
        <v>10</v>
      </c>
      <c r="G508" s="5" t="s">
        <v>11</v>
      </c>
      <c r="H508" s="3" t="s">
        <v>787</v>
      </c>
    </row>
    <row r="509" spans="1:8" ht="27.6" x14ac:dyDescent="0.25">
      <c r="A509" s="3" t="s">
        <v>8</v>
      </c>
      <c r="B509" s="3" t="s">
        <v>795</v>
      </c>
      <c r="C509" s="4" t="str">
        <f>HYPERLINK("http://www.rncp.cncp.gouv.fr/grand-public/visualisationFiche?format=fr&amp;fiche=16478","16478")</f>
        <v>16478</v>
      </c>
      <c r="D509" s="4" t="str">
        <f>HYPERLINK("http://www.intercariforef.org/formations/certification-78819.html","78819")</f>
        <v>78819</v>
      </c>
      <c r="E509" s="5">
        <v>131840</v>
      </c>
      <c r="F509" s="5" t="s">
        <v>10</v>
      </c>
      <c r="G509" s="5" t="s">
        <v>11</v>
      </c>
      <c r="H509" s="3" t="s">
        <v>112</v>
      </c>
    </row>
    <row r="510" spans="1:8" ht="41.4" x14ac:dyDescent="0.25">
      <c r="A510" s="3" t="s">
        <v>8</v>
      </c>
      <c r="B510" s="3" t="s">
        <v>796</v>
      </c>
      <c r="C510" s="4" t="str">
        <f>HYPERLINK("http://www.rncp.cncp.gouv.fr/grand-public/visualisationFiche?format=fr&amp;fiche=6228","6228")</f>
        <v>6228</v>
      </c>
      <c r="D510" s="4" t="str">
        <f>HYPERLINK("http://www.intercariforef.org/formations/certification-61032.html","61032")</f>
        <v>61032</v>
      </c>
      <c r="E510" s="5">
        <v>10092</v>
      </c>
      <c r="F510" s="5" t="s">
        <v>10</v>
      </c>
      <c r="G510" s="5" t="s">
        <v>11</v>
      </c>
      <c r="H510" s="3" t="s">
        <v>750</v>
      </c>
    </row>
    <row r="511" spans="1:8" ht="13.8" x14ac:dyDescent="0.25">
      <c r="A511" s="3" t="s">
        <v>8</v>
      </c>
      <c r="B511" s="3" t="s">
        <v>797</v>
      </c>
      <c r="C511" s="4" t="str">
        <f>HYPERLINK("http://www.rncp.cncp.gouv.fr/grand-public/visualisationFiche?format=fr&amp;fiche=9170","9170")</f>
        <v>9170</v>
      </c>
      <c r="D511" s="4" t="str">
        <f>HYPERLINK("http://www.intercariforef.org/formations/certification-65320.html","65320")</f>
        <v>65320</v>
      </c>
      <c r="E511" s="5">
        <v>162768</v>
      </c>
      <c r="F511" s="5" t="s">
        <v>721</v>
      </c>
      <c r="G511" s="5" t="s">
        <v>11</v>
      </c>
      <c r="H511" s="3" t="s">
        <v>798</v>
      </c>
    </row>
    <row r="512" spans="1:8" ht="27.6" x14ac:dyDescent="0.25">
      <c r="A512" s="3" t="s">
        <v>8</v>
      </c>
      <c r="B512" s="3" t="s">
        <v>799</v>
      </c>
      <c r="C512" s="4" t="str">
        <f>HYPERLINK("http://www.rncp.cncp.gouv.fr/grand-public/visualisationFiche?format=fr&amp;fiche=11164","11164")</f>
        <v>11164</v>
      </c>
      <c r="D512" s="4" t="str">
        <f>HYPERLINK("http://www.intercariforef.org/formations/certification-69303.html","69303")</f>
        <v>69303</v>
      </c>
      <c r="E512" s="5">
        <v>162753</v>
      </c>
      <c r="F512" s="5" t="s">
        <v>721</v>
      </c>
      <c r="G512" s="5" t="s">
        <v>11</v>
      </c>
      <c r="H512" s="3" t="s">
        <v>758</v>
      </c>
    </row>
    <row r="513" spans="1:8" ht="27.6" x14ac:dyDescent="0.25">
      <c r="A513" s="3" t="s">
        <v>8</v>
      </c>
      <c r="B513" s="3" t="s">
        <v>800</v>
      </c>
      <c r="C513" s="5"/>
      <c r="D513" s="4" t="str">
        <f>HYPERLINK("http://www.intercariforef.org/formations/certification-66746.html","66746")</f>
        <v>66746</v>
      </c>
      <c r="E513" s="5">
        <v>131790</v>
      </c>
      <c r="F513" s="5" t="s">
        <v>10</v>
      </c>
      <c r="G513" s="5" t="s">
        <v>11</v>
      </c>
      <c r="H513" s="3" t="s">
        <v>801</v>
      </c>
    </row>
    <row r="514" spans="1:8" ht="27.6" x14ac:dyDescent="0.25">
      <c r="A514" s="3" t="s">
        <v>8</v>
      </c>
      <c r="B514" s="3" t="s">
        <v>802</v>
      </c>
      <c r="C514" s="4" t="str">
        <f>HYPERLINK("http://www.rncp.cncp.gouv.fr/grand-public/visualisationFiche?format=fr&amp;fiche=14665","14665")</f>
        <v>14665</v>
      </c>
      <c r="D514" s="4" t="str">
        <f>HYPERLINK("http://www.intercariforef.org/formations/certification-57665.html","57665")</f>
        <v>57665</v>
      </c>
      <c r="E514" s="5">
        <v>162755</v>
      </c>
      <c r="F514" s="5" t="s">
        <v>721</v>
      </c>
      <c r="G514" s="5" t="s">
        <v>11</v>
      </c>
      <c r="H514" s="3" t="s">
        <v>803</v>
      </c>
    </row>
    <row r="515" spans="1:8" ht="27.6" x14ac:dyDescent="0.25">
      <c r="A515" s="3" t="s">
        <v>8</v>
      </c>
      <c r="B515" s="3" t="s">
        <v>804</v>
      </c>
      <c r="C515" s="4" t="str">
        <f>HYPERLINK("http://www.rncp.cncp.gouv.fr/grand-public/visualisationFiche?format=fr&amp;fiche=10209","10209")</f>
        <v>10209</v>
      </c>
      <c r="D515" s="4" t="str">
        <f>HYPERLINK("http://www.intercariforef.org/formations/certification-9973.html","9973")</f>
        <v>9973</v>
      </c>
      <c r="E515" s="5">
        <v>162757</v>
      </c>
      <c r="F515" s="5" t="s">
        <v>721</v>
      </c>
      <c r="G515" s="5" t="s">
        <v>11</v>
      </c>
      <c r="H515" s="3" t="s">
        <v>538</v>
      </c>
    </row>
    <row r="516" spans="1:8" ht="27.6" x14ac:dyDescent="0.25">
      <c r="A516" s="3" t="s">
        <v>8</v>
      </c>
      <c r="B516" s="3" t="s">
        <v>805</v>
      </c>
      <c r="C516" s="4" t="str">
        <f>HYPERLINK("http://www.rncp.cncp.gouv.fr/grand-public/visualisationFiche?format=fr&amp;fiche=13507","13507")</f>
        <v>13507</v>
      </c>
      <c r="D516" s="4" t="str">
        <f>HYPERLINK("http://www.intercariforef.org/formations/certification-58437.html","58437")</f>
        <v>58437</v>
      </c>
      <c r="E516" s="5">
        <v>131824</v>
      </c>
      <c r="F516" s="5" t="s">
        <v>10</v>
      </c>
      <c r="G516" s="5" t="s">
        <v>11</v>
      </c>
      <c r="H516" s="3" t="s">
        <v>806</v>
      </c>
    </row>
    <row r="517" spans="1:8" ht="27.6" x14ac:dyDescent="0.25">
      <c r="A517" s="3" t="s">
        <v>8</v>
      </c>
      <c r="B517" s="3" t="s">
        <v>807</v>
      </c>
      <c r="C517" s="5"/>
      <c r="D517" s="4" t="str">
        <f>HYPERLINK("http://www.intercariforef.org/formations/certification-66815.html","66815")</f>
        <v>66815</v>
      </c>
      <c r="E517" s="5">
        <v>131793</v>
      </c>
      <c r="F517" s="5" t="s">
        <v>10</v>
      </c>
      <c r="G517" s="5" t="s">
        <v>11</v>
      </c>
      <c r="H517" s="3" t="s">
        <v>808</v>
      </c>
    </row>
    <row r="518" spans="1:8" ht="27.6" x14ac:dyDescent="0.25">
      <c r="A518" s="3" t="s">
        <v>8</v>
      </c>
      <c r="B518" s="3" t="s">
        <v>807</v>
      </c>
      <c r="C518" s="5"/>
      <c r="D518" s="4" t="str">
        <f>HYPERLINK("http://www.intercariforef.org/formations/certification-66814.html","66814")</f>
        <v>66814</v>
      </c>
      <c r="E518" s="5">
        <v>131792</v>
      </c>
      <c r="F518" s="5" t="s">
        <v>10</v>
      </c>
      <c r="G518" s="5" t="s">
        <v>11</v>
      </c>
      <c r="H518" s="3" t="s">
        <v>809</v>
      </c>
    </row>
    <row r="519" spans="1:8" ht="27.6" x14ac:dyDescent="0.25">
      <c r="A519" s="3" t="s">
        <v>8</v>
      </c>
      <c r="B519" s="3" t="s">
        <v>807</v>
      </c>
      <c r="C519" s="4" t="str">
        <f>HYPERLINK("http://www.rncp.cncp.gouv.fr/grand-public/visualisationFiche?format=fr&amp;fiche=13322","13322")</f>
        <v>13322</v>
      </c>
      <c r="D519" s="4" t="str">
        <f>HYPERLINK("http://www.intercariforef.org/formations/certification-73148.html","73148")</f>
        <v>73148</v>
      </c>
      <c r="E519" s="5">
        <v>131795</v>
      </c>
      <c r="F519" s="5" t="s">
        <v>10</v>
      </c>
      <c r="G519" s="5" t="s">
        <v>11</v>
      </c>
      <c r="H519" s="3" t="s">
        <v>746</v>
      </c>
    </row>
    <row r="520" spans="1:8" ht="27.6" x14ac:dyDescent="0.25">
      <c r="A520" s="3" t="s">
        <v>8</v>
      </c>
      <c r="B520" s="3" t="s">
        <v>807</v>
      </c>
      <c r="C520" s="4" t="str">
        <f>HYPERLINK("http://www.rncp.cncp.gouv.fr/grand-public/visualisationFiche?format=fr&amp;fiche=20065","20065")</f>
        <v>20065</v>
      </c>
      <c r="D520" s="4" t="str">
        <f>HYPERLINK("http://www.intercariforef.org/formations/certification-56591.html","56591")</f>
        <v>56591</v>
      </c>
      <c r="E520" s="5">
        <v>131779</v>
      </c>
      <c r="F520" s="5" t="s">
        <v>10</v>
      </c>
      <c r="G520" s="5" t="s">
        <v>11</v>
      </c>
      <c r="H520" s="3" t="s">
        <v>810</v>
      </c>
    </row>
    <row r="521" spans="1:8" ht="27.6" x14ac:dyDescent="0.25">
      <c r="A521" s="3" t="s">
        <v>8</v>
      </c>
      <c r="B521" s="3" t="s">
        <v>811</v>
      </c>
      <c r="C521" s="4" t="str">
        <f>HYPERLINK("http://www.rncp.cncp.gouv.fr/grand-public/visualisationFiche?format=fr&amp;fiche=20032","20032")</f>
        <v>20032</v>
      </c>
      <c r="D521" s="4" t="str">
        <f>HYPERLINK("http://www.intercariforef.org/formations/certification-66828.html","66828")</f>
        <v>66828</v>
      </c>
      <c r="E521" s="5">
        <v>131837</v>
      </c>
      <c r="F521" s="5" t="s">
        <v>10</v>
      </c>
      <c r="G521" s="5" t="s">
        <v>11</v>
      </c>
      <c r="H521" s="3" t="s">
        <v>810</v>
      </c>
    </row>
    <row r="522" spans="1:8" ht="27.6" x14ac:dyDescent="0.25">
      <c r="A522" s="3" t="s">
        <v>8</v>
      </c>
      <c r="B522" s="3" t="s">
        <v>812</v>
      </c>
      <c r="C522" s="4" t="str">
        <f>HYPERLINK("http://www.rncp.cncp.gouv.fr/grand-public/visualisationFiche?format=fr&amp;fiche=18412","18412")</f>
        <v>18412</v>
      </c>
      <c r="D522" s="4" t="str">
        <f>HYPERLINK("http://www.intercariforef.org/formations/certification-66824.html","66824")</f>
        <v>66824</v>
      </c>
      <c r="E522" s="5">
        <v>131825</v>
      </c>
      <c r="F522" s="5" t="s">
        <v>10</v>
      </c>
      <c r="G522" s="5" t="s">
        <v>11</v>
      </c>
      <c r="H522" s="3" t="s">
        <v>813</v>
      </c>
    </row>
    <row r="523" spans="1:8" ht="13.8" x14ac:dyDescent="0.25">
      <c r="A523" s="3" t="s">
        <v>8</v>
      </c>
      <c r="B523" s="3" t="s">
        <v>814</v>
      </c>
      <c r="C523" s="4" t="str">
        <f>HYPERLINK("http://www.rncp.cncp.gouv.fr/grand-public/visualisationFiche?format=fr&amp;fiche=17138","17138")</f>
        <v>17138</v>
      </c>
      <c r="D523" s="4" t="str">
        <f>HYPERLINK("http://www.intercariforef.org/formations/certification-44343.html","44343")</f>
        <v>44343</v>
      </c>
      <c r="E523" s="5">
        <v>147282</v>
      </c>
      <c r="F523" s="5" t="s">
        <v>10</v>
      </c>
      <c r="G523" s="5" t="s">
        <v>11</v>
      </c>
      <c r="H523" s="3" t="s">
        <v>815</v>
      </c>
    </row>
    <row r="524" spans="1:8" ht="27.6" x14ac:dyDescent="0.25">
      <c r="A524" s="3" t="s">
        <v>8</v>
      </c>
      <c r="B524" s="3" t="s">
        <v>816</v>
      </c>
      <c r="C524" s="4" t="str">
        <f>HYPERLINK("http://www.rncp.cncp.gouv.fr/grand-public/visualisationFiche?format=fr&amp;fiche=15994","15994")</f>
        <v>15994</v>
      </c>
      <c r="D524" s="4" t="str">
        <f>HYPERLINK("http://www.intercariforef.org/formations/certification-44503.html","44503")</f>
        <v>44503</v>
      </c>
      <c r="E524" s="5">
        <v>162772</v>
      </c>
      <c r="F524" s="5" t="s">
        <v>721</v>
      </c>
      <c r="G524" s="5" t="s">
        <v>11</v>
      </c>
      <c r="H524" s="3" t="s">
        <v>815</v>
      </c>
    </row>
    <row r="525" spans="1:8" ht="27.6" x14ac:dyDescent="0.25">
      <c r="A525" s="3" t="s">
        <v>8</v>
      </c>
      <c r="B525" s="3" t="s">
        <v>817</v>
      </c>
      <c r="C525" s="4" t="str">
        <f>HYPERLINK("http://www.rncp.cncp.gouv.fr/grand-public/visualisationFiche?format=fr&amp;fiche=15974","15974")</f>
        <v>15974</v>
      </c>
      <c r="D525" s="4" t="str">
        <f>HYPERLINK("http://www.intercariforef.org/formations/certification-44507.html","44507")</f>
        <v>44507</v>
      </c>
      <c r="E525" s="5">
        <v>131828</v>
      </c>
      <c r="F525" s="5" t="s">
        <v>10</v>
      </c>
      <c r="G525" s="5" t="s">
        <v>11</v>
      </c>
      <c r="H525" s="3" t="s">
        <v>815</v>
      </c>
    </row>
    <row r="526" spans="1:8" ht="13.8" x14ac:dyDescent="0.25">
      <c r="A526" s="3" t="s">
        <v>8</v>
      </c>
      <c r="B526" s="3" t="s">
        <v>818</v>
      </c>
      <c r="C526" s="4" t="str">
        <f>HYPERLINK("http://www.rncp.cncp.gouv.fr/grand-public/visualisationFiche?format=fr&amp;fiche=18455","18455")</f>
        <v>18455</v>
      </c>
      <c r="D526" s="4" t="str">
        <f>HYPERLINK("http://www.intercariforef.org/formations/certification-4659.html","4659")</f>
        <v>4659</v>
      </c>
      <c r="E526" s="5">
        <v>10287</v>
      </c>
      <c r="F526" s="5" t="s">
        <v>10</v>
      </c>
      <c r="G526" s="5" t="s">
        <v>11</v>
      </c>
      <c r="H526" s="3" t="s">
        <v>813</v>
      </c>
    </row>
    <row r="527" spans="1:8" ht="27.6" x14ac:dyDescent="0.25">
      <c r="A527" s="3" t="s">
        <v>8</v>
      </c>
      <c r="B527" s="3" t="s">
        <v>819</v>
      </c>
      <c r="C527" s="4" t="str">
        <f>HYPERLINK("http://www.rncp.cncp.gouv.fr/grand-public/visualisationFiche?format=fr&amp;fiche=18493","18493")</f>
        <v>18493</v>
      </c>
      <c r="D527" s="4" t="str">
        <f>HYPERLINK("http://www.intercariforef.org/formations/certification-4654.html","4654")</f>
        <v>4654</v>
      </c>
      <c r="E527" s="5">
        <v>10277</v>
      </c>
      <c r="F527" s="5" t="s">
        <v>10</v>
      </c>
      <c r="G527" s="5" t="s">
        <v>11</v>
      </c>
      <c r="H527" s="3" t="s">
        <v>813</v>
      </c>
    </row>
    <row r="528" spans="1:8" ht="13.8" x14ac:dyDescent="0.25">
      <c r="A528" s="3" t="s">
        <v>8</v>
      </c>
      <c r="B528" s="3" t="s">
        <v>820</v>
      </c>
      <c r="C528" s="4" t="str">
        <f>HYPERLINK("http://www.rncp.cncp.gouv.fr/grand-public/visualisationFiche?format=fr&amp;fiche=18495","18495")</f>
        <v>18495</v>
      </c>
      <c r="D528" s="4" t="str">
        <f>HYPERLINK("http://www.intercariforef.org/formations/certification-28322.html","28322")</f>
        <v>28322</v>
      </c>
      <c r="E528" s="5">
        <v>10279</v>
      </c>
      <c r="F528" s="5" t="s">
        <v>10</v>
      </c>
      <c r="G528" s="5" t="s">
        <v>11</v>
      </c>
      <c r="H528" s="3" t="s">
        <v>813</v>
      </c>
    </row>
    <row r="529" spans="1:8" ht="27.6" x14ac:dyDescent="0.25">
      <c r="A529" s="3" t="s">
        <v>8</v>
      </c>
      <c r="B529" s="3" t="s">
        <v>821</v>
      </c>
      <c r="C529" s="5"/>
      <c r="D529" s="4" t="str">
        <f>HYPERLINK("http://www.intercariforef.org/formations/certification-78707.html","78707")</f>
        <v>78707</v>
      </c>
      <c r="E529" s="5">
        <v>10259</v>
      </c>
      <c r="F529" s="5" t="s">
        <v>10</v>
      </c>
      <c r="G529" s="5" t="s">
        <v>11</v>
      </c>
      <c r="H529" s="3" t="s">
        <v>813</v>
      </c>
    </row>
    <row r="530" spans="1:8" ht="27.6" x14ac:dyDescent="0.25">
      <c r="A530" s="3" t="s">
        <v>8</v>
      </c>
      <c r="B530" s="3" t="s">
        <v>822</v>
      </c>
      <c r="C530" s="5"/>
      <c r="D530" s="4" t="str">
        <f>HYPERLINK("http://www.intercariforef.org/formations/certification-63963.html","63963")</f>
        <v>63963</v>
      </c>
      <c r="E530" s="5">
        <v>131842</v>
      </c>
      <c r="F530" s="5" t="s">
        <v>10</v>
      </c>
      <c r="G530" s="5" t="s">
        <v>11</v>
      </c>
      <c r="H530" s="3" t="s">
        <v>823</v>
      </c>
    </row>
    <row r="531" spans="1:8" ht="27.6" x14ac:dyDescent="0.25">
      <c r="A531" s="3" t="s">
        <v>8</v>
      </c>
      <c r="B531" s="3" t="s">
        <v>824</v>
      </c>
      <c r="C531" s="5"/>
      <c r="D531" s="4" t="str">
        <f>HYPERLINK("http://www.intercariforef.org/formations/certification-76896.html","76896")</f>
        <v>76896</v>
      </c>
      <c r="E531" s="5">
        <v>131774</v>
      </c>
      <c r="F531" s="5" t="s">
        <v>10</v>
      </c>
      <c r="G531" s="5" t="s">
        <v>11</v>
      </c>
      <c r="H531" s="3" t="s">
        <v>823</v>
      </c>
    </row>
    <row r="532" spans="1:8" ht="27.6" x14ac:dyDescent="0.25">
      <c r="A532" s="3" t="s">
        <v>8</v>
      </c>
      <c r="B532" s="3" t="s">
        <v>825</v>
      </c>
      <c r="C532" s="5"/>
      <c r="D532" s="4" t="str">
        <f>HYPERLINK("http://www.intercariforef.org/formations/certification-72525.html","72525")</f>
        <v>72525</v>
      </c>
      <c r="E532" s="5">
        <v>131775</v>
      </c>
      <c r="F532" s="5" t="s">
        <v>10</v>
      </c>
      <c r="G532" s="5" t="s">
        <v>11</v>
      </c>
      <c r="H532" s="3" t="s">
        <v>823</v>
      </c>
    </row>
    <row r="533" spans="1:8" ht="27.6" x14ac:dyDescent="0.25">
      <c r="A533" s="3" t="s">
        <v>8</v>
      </c>
      <c r="B533" s="3" t="s">
        <v>826</v>
      </c>
      <c r="C533" s="4" t="str">
        <f>HYPERLINK("http://www.rncp.cncp.gouv.fr/grand-public/visualisationFiche?format=fr&amp;fiche=9635","9635")</f>
        <v>9635</v>
      </c>
      <c r="D533" s="4" t="str">
        <f>HYPERLINK("http://www.intercariforef.org/formations/certification-77657.html","77657")</f>
        <v>77657</v>
      </c>
      <c r="E533" s="5">
        <v>11120</v>
      </c>
      <c r="F533" s="5" t="s">
        <v>10</v>
      </c>
      <c r="G533" s="5" t="s">
        <v>11</v>
      </c>
      <c r="H533" s="3" t="s">
        <v>750</v>
      </c>
    </row>
    <row r="534" spans="1:8" ht="27.6" x14ac:dyDescent="0.25">
      <c r="A534" s="3" t="s">
        <v>8</v>
      </c>
      <c r="B534" s="3" t="s">
        <v>827</v>
      </c>
      <c r="C534" s="4" t="str">
        <f>HYPERLINK("http://www.rncp.cncp.gouv.fr/grand-public/visualisationFiche?format=fr&amp;fiche=9468","9468")</f>
        <v>9468</v>
      </c>
      <c r="D534" s="4" t="str">
        <f>HYPERLINK("http://www.intercariforef.org/formations/certification-77429.html","77429")</f>
        <v>77429</v>
      </c>
      <c r="E534" s="5">
        <v>10363</v>
      </c>
      <c r="F534" s="5" t="s">
        <v>10</v>
      </c>
      <c r="G534" s="5" t="s">
        <v>11</v>
      </c>
      <c r="H534" s="3" t="s">
        <v>750</v>
      </c>
    </row>
    <row r="535" spans="1:8" ht="27.6" x14ac:dyDescent="0.25">
      <c r="A535" s="3" t="s">
        <v>8</v>
      </c>
      <c r="B535" s="3" t="s">
        <v>828</v>
      </c>
      <c r="C535" s="4" t="str">
        <f>HYPERLINK("http://www.rncp.cncp.gouv.fr/grand-public/visualisationFiche?format=fr&amp;fiche=9471","9471")</f>
        <v>9471</v>
      </c>
      <c r="D535" s="4" t="str">
        <f>HYPERLINK("http://www.intercariforef.org/formations/certification-77675.html","77675")</f>
        <v>77675</v>
      </c>
      <c r="E535" s="5">
        <v>11018</v>
      </c>
      <c r="F535" s="5" t="s">
        <v>10</v>
      </c>
      <c r="G535" s="5" t="s">
        <v>11</v>
      </c>
      <c r="H535" s="3" t="s">
        <v>750</v>
      </c>
    </row>
    <row r="536" spans="1:8" ht="27.6" x14ac:dyDescent="0.25">
      <c r="A536" s="3" t="s">
        <v>8</v>
      </c>
      <c r="B536" s="3" t="s">
        <v>829</v>
      </c>
      <c r="C536" s="5"/>
      <c r="D536" s="4" t="str">
        <f>HYPERLINK("http://www.intercariforef.org/formations/certification-77672.html","77672")</f>
        <v>77672</v>
      </c>
      <c r="E536" s="5">
        <v>11110</v>
      </c>
      <c r="F536" s="5" t="s">
        <v>10</v>
      </c>
      <c r="G536" s="5" t="s">
        <v>11</v>
      </c>
      <c r="H536" s="3" t="s">
        <v>750</v>
      </c>
    </row>
    <row r="537" spans="1:8" ht="27.6" x14ac:dyDescent="0.25">
      <c r="A537" s="3" t="s">
        <v>8</v>
      </c>
      <c r="B537" s="3" t="s">
        <v>830</v>
      </c>
      <c r="C537" s="4" t="str">
        <f>HYPERLINK("http://www.rncp.cncp.gouv.fr/grand-public/visualisationFiche?format=fr&amp;fiche=9186","9186")</f>
        <v>9186</v>
      </c>
      <c r="D537" s="4" t="str">
        <f>HYPERLINK("http://www.intercariforef.org/formations/certification-77440.html","77440")</f>
        <v>77440</v>
      </c>
      <c r="E537" s="5">
        <v>10096</v>
      </c>
      <c r="F537" s="5" t="s">
        <v>10</v>
      </c>
      <c r="G537" s="5" t="s">
        <v>11</v>
      </c>
      <c r="H537" s="3" t="s">
        <v>750</v>
      </c>
    </row>
    <row r="538" spans="1:8" ht="27.6" x14ac:dyDescent="0.25">
      <c r="A538" s="3" t="s">
        <v>8</v>
      </c>
      <c r="B538" s="3" t="s">
        <v>831</v>
      </c>
      <c r="C538" s="5"/>
      <c r="D538" s="4" t="str">
        <f>HYPERLINK("http://www.intercariforef.org/formations/certification-79930.html","79930")</f>
        <v>79930</v>
      </c>
      <c r="E538" s="5">
        <v>154277</v>
      </c>
      <c r="F538" s="5" t="s">
        <v>10</v>
      </c>
      <c r="G538" s="5" t="s">
        <v>11</v>
      </c>
      <c r="H538" s="3" t="s">
        <v>832</v>
      </c>
    </row>
    <row r="539" spans="1:8" ht="41.4" x14ac:dyDescent="0.25">
      <c r="A539" s="3" t="s">
        <v>8</v>
      </c>
      <c r="B539" s="3" t="s">
        <v>833</v>
      </c>
      <c r="C539" s="4" t="str">
        <f>HYPERLINK("http://www.rncp.cncp.gouv.fr/grand-public/visualisationFiche?format=fr&amp;fiche=13327","13327")</f>
        <v>13327</v>
      </c>
      <c r="D539" s="4" t="str">
        <f>HYPERLINK("http://www.intercariforef.org/formations/certification-52117.html","52117")</f>
        <v>52117</v>
      </c>
      <c r="E539" s="5">
        <v>10318</v>
      </c>
      <c r="F539" s="5" t="s">
        <v>10</v>
      </c>
      <c r="G539" s="5" t="s">
        <v>11</v>
      </c>
      <c r="H539" s="3" t="s">
        <v>746</v>
      </c>
    </row>
    <row r="540" spans="1:8" ht="27.6" x14ac:dyDescent="0.25">
      <c r="A540" s="3" t="s">
        <v>8</v>
      </c>
      <c r="B540" s="3" t="s">
        <v>834</v>
      </c>
      <c r="C540" s="4" t="str">
        <f>HYPERLINK("http://www.rncp.cncp.gouv.fr/grand-public/visualisationFiche?format=fr&amp;fiche=21292","21292")</f>
        <v>21292</v>
      </c>
      <c r="D540" s="4" t="str">
        <f>HYPERLINK("http://www.intercariforef.org/formations/certification-82073.html","82073")</f>
        <v>82073</v>
      </c>
      <c r="E540" s="5">
        <v>162800</v>
      </c>
      <c r="F540" s="5" t="s">
        <v>721</v>
      </c>
      <c r="G540" s="5" t="s">
        <v>11</v>
      </c>
      <c r="H540" s="3" t="s">
        <v>731</v>
      </c>
    </row>
    <row r="541" spans="1:8" ht="41.4" x14ac:dyDescent="0.25">
      <c r="A541" s="3" t="s">
        <v>8</v>
      </c>
      <c r="B541" s="3" t="s">
        <v>835</v>
      </c>
      <c r="C541" s="4" t="str">
        <f>HYPERLINK("http://www.rncp.cncp.gouv.fr/grand-public/visualisationFiche?format=fr&amp;fiche=21287","21287")</f>
        <v>21287</v>
      </c>
      <c r="D541" s="4" t="str">
        <f>HYPERLINK("http://www.intercariforef.org/formations/certification-82074.html","82074")</f>
        <v>82074</v>
      </c>
      <c r="E541" s="5">
        <v>162801</v>
      </c>
      <c r="F541" s="5" t="s">
        <v>721</v>
      </c>
      <c r="G541" s="5" t="s">
        <v>11</v>
      </c>
      <c r="H541" s="3" t="s">
        <v>731</v>
      </c>
    </row>
    <row r="542" spans="1:8" ht="27.6" x14ac:dyDescent="0.25">
      <c r="A542" s="3" t="s">
        <v>8</v>
      </c>
      <c r="B542" s="3" t="s">
        <v>836</v>
      </c>
      <c r="C542" s="4" t="str">
        <f>HYPERLINK("http://www.rncp.cncp.gouv.fr/grand-public/visualisationFiche?format=fr&amp;fiche=21196","21196")</f>
        <v>21196</v>
      </c>
      <c r="D542" s="4" t="str">
        <f>HYPERLINK("http://www.intercariforef.org/formations/certification-82078.html","82078")</f>
        <v>82078</v>
      </c>
      <c r="E542" s="5">
        <v>162802</v>
      </c>
      <c r="F542" s="5" t="s">
        <v>721</v>
      </c>
      <c r="G542" s="5" t="s">
        <v>11</v>
      </c>
      <c r="H542" s="3" t="s">
        <v>731</v>
      </c>
    </row>
    <row r="543" spans="1:8" ht="27.6" x14ac:dyDescent="0.25">
      <c r="A543" s="3" t="s">
        <v>8</v>
      </c>
      <c r="B543" s="3" t="s">
        <v>837</v>
      </c>
      <c r="C543" s="4" t="str">
        <f>HYPERLINK("http://www.rncp.cncp.gouv.fr/grand-public/visualisationFiche?format=fr&amp;fiche=11707","11707")</f>
        <v>11707</v>
      </c>
      <c r="D543" s="4" t="str">
        <f>HYPERLINK("http://www.intercariforef.org/formations/certification-63966.html","63966")</f>
        <v>63966</v>
      </c>
      <c r="E543" s="5">
        <v>162711</v>
      </c>
      <c r="F543" s="5" t="s">
        <v>721</v>
      </c>
      <c r="G543" s="5" t="s">
        <v>11</v>
      </c>
      <c r="H543" s="3" t="s">
        <v>737</v>
      </c>
    </row>
    <row r="544" spans="1:8" ht="27.6" x14ac:dyDescent="0.25">
      <c r="A544" s="3" t="s">
        <v>8</v>
      </c>
      <c r="B544" s="3" t="s">
        <v>838</v>
      </c>
      <c r="C544" s="4" t="str">
        <f>HYPERLINK("http://www.rncp.cncp.gouv.fr/grand-public/visualisationFiche?format=fr&amp;fiche=12360","12360")</f>
        <v>12360</v>
      </c>
      <c r="D544" s="4" t="str">
        <f>HYPERLINK("http://www.intercariforef.org/formations/certification-65216.html","65216")</f>
        <v>65216</v>
      </c>
      <c r="E544" s="5">
        <v>162793</v>
      </c>
      <c r="F544" s="5" t="s">
        <v>721</v>
      </c>
      <c r="G544" s="5" t="s">
        <v>11</v>
      </c>
      <c r="H544" s="3" t="s">
        <v>742</v>
      </c>
    </row>
    <row r="545" spans="1:8" ht="27.6" x14ac:dyDescent="0.25">
      <c r="A545" s="3" t="s">
        <v>8</v>
      </c>
      <c r="B545" s="3" t="s">
        <v>839</v>
      </c>
      <c r="C545" s="4" t="str">
        <f>HYPERLINK("http://www.rncp.cncp.gouv.fr/grand-public/visualisationFiche?format=fr&amp;fiche=12369","12369")</f>
        <v>12369</v>
      </c>
      <c r="D545" s="4" t="str">
        <f>HYPERLINK("http://www.intercariforef.org/formations/certification-65157.html","65157")</f>
        <v>65157</v>
      </c>
      <c r="E545" s="5">
        <v>162707</v>
      </c>
      <c r="F545" s="5" t="s">
        <v>721</v>
      </c>
      <c r="G545" s="5" t="s">
        <v>11</v>
      </c>
      <c r="H545" s="3" t="s">
        <v>742</v>
      </c>
    </row>
    <row r="546" spans="1:8" ht="27.6" x14ac:dyDescent="0.25">
      <c r="A546" s="3" t="s">
        <v>8</v>
      </c>
      <c r="B546" s="3" t="s">
        <v>840</v>
      </c>
      <c r="C546" s="4" t="str">
        <f>HYPERLINK("http://www.rncp.cncp.gouv.fr/grand-public/visualisationFiche?format=fr&amp;fiche=17150","17150")</f>
        <v>17150</v>
      </c>
      <c r="D546" s="4" t="str">
        <f>HYPERLINK("http://www.intercariforef.org/formations/certification-78403.html","78403")</f>
        <v>78403</v>
      </c>
      <c r="E546" s="5">
        <v>10261</v>
      </c>
      <c r="F546" s="5" t="s">
        <v>10</v>
      </c>
      <c r="G546" s="5" t="s">
        <v>11</v>
      </c>
      <c r="H546" s="3" t="s">
        <v>815</v>
      </c>
    </row>
    <row r="547" spans="1:8" ht="27.6" x14ac:dyDescent="0.25">
      <c r="A547" s="3" t="s">
        <v>8</v>
      </c>
      <c r="B547" s="3" t="s">
        <v>841</v>
      </c>
      <c r="C547" s="5"/>
      <c r="D547" s="4" t="str">
        <f>HYPERLINK("http://www.intercariforef.org/formations/certification-73018.html","73018")</f>
        <v>73018</v>
      </c>
      <c r="E547" s="5">
        <v>156441</v>
      </c>
      <c r="F547" s="5" t="s">
        <v>10</v>
      </c>
      <c r="G547" s="5" t="s">
        <v>11</v>
      </c>
      <c r="H547" s="3" t="s">
        <v>842</v>
      </c>
    </row>
    <row r="548" spans="1:8" ht="27.6" x14ac:dyDescent="0.25">
      <c r="A548" s="3" t="s">
        <v>8</v>
      </c>
      <c r="B548" s="3" t="s">
        <v>843</v>
      </c>
      <c r="C548" s="4" t="str">
        <f>HYPERLINK("http://www.rncp.cncp.gouv.fr/grand-public/visualisationFiche?format=fr&amp;fiche=12389","12389")</f>
        <v>12389</v>
      </c>
      <c r="D548" s="4" t="str">
        <f>HYPERLINK("http://www.intercariforef.org/formations/certification-69073.html","69073")</f>
        <v>69073</v>
      </c>
      <c r="E548" s="5">
        <v>10093</v>
      </c>
      <c r="F548" s="5" t="s">
        <v>10</v>
      </c>
      <c r="G548" s="5" t="s">
        <v>11</v>
      </c>
      <c r="H548" s="3" t="s">
        <v>742</v>
      </c>
    </row>
    <row r="549" spans="1:8" ht="27.6" x14ac:dyDescent="0.25">
      <c r="A549" s="3" t="s">
        <v>8</v>
      </c>
      <c r="B549" s="3" t="s">
        <v>844</v>
      </c>
      <c r="C549" s="5"/>
      <c r="D549" s="4" t="str">
        <f>HYPERLINK("http://www.intercariforef.org/formations/certification-78268.html","78268")</f>
        <v>78268</v>
      </c>
      <c r="E549" s="5">
        <v>10228</v>
      </c>
      <c r="F549" s="5" t="s">
        <v>10</v>
      </c>
      <c r="G549" s="5" t="s">
        <v>11</v>
      </c>
      <c r="H549" s="3" t="s">
        <v>713</v>
      </c>
    </row>
    <row r="550" spans="1:8" ht="27.6" x14ac:dyDescent="0.25">
      <c r="A550" s="3" t="s">
        <v>8</v>
      </c>
      <c r="B550" s="3" t="s">
        <v>844</v>
      </c>
      <c r="C550" s="4" t="str">
        <f>HYPERLINK("http://www.rncp.cncp.gouv.fr/grand-public/visualisationFiche?format=fr&amp;fiche=11307","11307")</f>
        <v>11307</v>
      </c>
      <c r="D550" s="4" t="str">
        <f>HYPERLINK("http://www.intercariforef.org/formations/certification-67224.html","67224")</f>
        <v>67224</v>
      </c>
      <c r="E550" s="5">
        <v>127828</v>
      </c>
      <c r="F550" s="5" t="s">
        <v>10</v>
      </c>
      <c r="G550" s="5" t="s">
        <v>11</v>
      </c>
      <c r="H550" s="3" t="s">
        <v>845</v>
      </c>
    </row>
    <row r="551" spans="1:8" ht="41.4" x14ac:dyDescent="0.25">
      <c r="A551" s="3" t="s">
        <v>8</v>
      </c>
      <c r="B551" s="3" t="s">
        <v>846</v>
      </c>
      <c r="C551" s="4" t="str">
        <f>HYPERLINK("http://www.rncp.cncp.gouv.fr/grand-public/visualisationFiche?format=fr&amp;fiche=11244","11244")</f>
        <v>11244</v>
      </c>
      <c r="D551" s="4" t="str">
        <f>HYPERLINK("http://www.intercariforef.org/formations/certification-74341.html","74341")</f>
        <v>74341</v>
      </c>
      <c r="E551" s="5">
        <v>156436</v>
      </c>
      <c r="F551" s="5" t="s">
        <v>10</v>
      </c>
      <c r="G551" s="5" t="s">
        <v>11</v>
      </c>
      <c r="H551" s="3" t="s">
        <v>722</v>
      </c>
    </row>
    <row r="552" spans="1:8" ht="27.6" x14ac:dyDescent="0.25">
      <c r="A552" s="3" t="s">
        <v>8</v>
      </c>
      <c r="B552" s="3" t="s">
        <v>847</v>
      </c>
      <c r="C552" s="4" t="str">
        <f>HYPERLINK("http://www.rncp.cncp.gouv.fr/grand-public/visualisationFiche?format=fr&amp;fiche=14456","14456")</f>
        <v>14456</v>
      </c>
      <c r="D552" s="4" t="str">
        <f>HYPERLINK("http://www.intercariforef.org/formations/certification-75718.html","75718")</f>
        <v>75718</v>
      </c>
      <c r="E552" s="5">
        <v>10309</v>
      </c>
      <c r="F552" s="5" t="s">
        <v>10</v>
      </c>
      <c r="G552" s="5" t="s">
        <v>11</v>
      </c>
      <c r="H552" s="3" t="s">
        <v>514</v>
      </c>
    </row>
    <row r="553" spans="1:8" ht="27.6" x14ac:dyDescent="0.25">
      <c r="A553" s="3" t="s">
        <v>8</v>
      </c>
      <c r="B553" s="3" t="s">
        <v>848</v>
      </c>
      <c r="C553" s="4" t="str">
        <f>HYPERLINK("http://www.rncp.cncp.gouv.fr/grand-public/visualisationFiche?format=fr&amp;fiche=12540","12540")</f>
        <v>12540</v>
      </c>
      <c r="D553" s="4" t="str">
        <f>HYPERLINK("http://www.intercariforef.org/formations/certification-64604.html","64604")</f>
        <v>64604</v>
      </c>
      <c r="E553" s="5">
        <v>131841</v>
      </c>
      <c r="F553" s="5" t="s">
        <v>10</v>
      </c>
      <c r="G553" s="5" t="s">
        <v>11</v>
      </c>
      <c r="H553" s="3" t="s">
        <v>742</v>
      </c>
    </row>
    <row r="554" spans="1:8" ht="27.6" x14ac:dyDescent="0.25">
      <c r="A554" s="3" t="s">
        <v>8</v>
      </c>
      <c r="B554" s="3" t="s">
        <v>849</v>
      </c>
      <c r="C554" s="4" t="str">
        <f>HYPERLINK("http://www.rncp.cncp.gouv.fr/grand-public/visualisationFiche?format=fr&amp;fiche=7631","7631")</f>
        <v>7631</v>
      </c>
      <c r="D554" s="4" t="str">
        <f>HYPERLINK("http://www.intercariforef.org/formations/certification-60899.html","60899")</f>
        <v>60899</v>
      </c>
      <c r="E554" s="5">
        <v>10072</v>
      </c>
      <c r="F554" s="5" t="s">
        <v>10</v>
      </c>
      <c r="G554" s="5" t="s">
        <v>11</v>
      </c>
      <c r="H554" s="3" t="s">
        <v>850</v>
      </c>
    </row>
    <row r="555" spans="1:8" ht="27.6" x14ac:dyDescent="0.25">
      <c r="A555" s="3" t="s">
        <v>8</v>
      </c>
      <c r="B555" s="3" t="s">
        <v>851</v>
      </c>
      <c r="C555" s="4" t="str">
        <f>HYPERLINK("http://www.rncp.cncp.gouv.fr/grand-public/visualisationFiche?format=fr&amp;fiche=15532","15532")</f>
        <v>15532</v>
      </c>
      <c r="D555" s="4" t="str">
        <f>HYPERLINK("http://www.intercariforef.org/formations/certification-82229.html","82229")</f>
        <v>82229</v>
      </c>
      <c r="E555" s="5">
        <v>131818</v>
      </c>
      <c r="F555" s="5" t="s">
        <v>10</v>
      </c>
      <c r="G555" s="5" t="s">
        <v>11</v>
      </c>
      <c r="H555" s="3" t="s">
        <v>726</v>
      </c>
    </row>
    <row r="556" spans="1:8" ht="27.6" x14ac:dyDescent="0.25">
      <c r="A556" s="3" t="s">
        <v>8</v>
      </c>
      <c r="B556" s="3" t="s">
        <v>852</v>
      </c>
      <c r="C556" s="4" t="str">
        <f>HYPERLINK("http://www.rncp.cncp.gouv.fr/grand-public/visualisationFiche?format=fr&amp;fiche=18980","18980")</f>
        <v>18980</v>
      </c>
      <c r="D556" s="4" t="str">
        <f>HYPERLINK("http://www.intercariforef.org/formations/certification-73537.html","73537")</f>
        <v>73537</v>
      </c>
      <c r="E556" s="5">
        <v>131829</v>
      </c>
      <c r="F556" s="5" t="s">
        <v>10</v>
      </c>
      <c r="G556" s="5" t="s">
        <v>11</v>
      </c>
      <c r="H556" s="3" t="s">
        <v>722</v>
      </c>
    </row>
    <row r="557" spans="1:8" ht="27.6" x14ac:dyDescent="0.25">
      <c r="A557" s="3" t="s">
        <v>8</v>
      </c>
      <c r="B557" s="3" t="s">
        <v>853</v>
      </c>
      <c r="C557" s="4" t="str">
        <f>HYPERLINK("http://www.rncp.cncp.gouv.fr/grand-public/visualisationFiche?format=fr&amp;fiche=10573","10573")</f>
        <v>10573</v>
      </c>
      <c r="D557" s="4" t="str">
        <f>HYPERLINK("http://www.intercariforef.org/formations/certification-62014.html","62014")</f>
        <v>62014</v>
      </c>
      <c r="E557" s="5">
        <v>131843</v>
      </c>
      <c r="F557" s="5" t="s">
        <v>10</v>
      </c>
      <c r="G557" s="5" t="s">
        <v>11</v>
      </c>
      <c r="H557" s="3" t="s">
        <v>733</v>
      </c>
    </row>
    <row r="558" spans="1:8" ht="27.6" x14ac:dyDescent="0.25">
      <c r="A558" s="3" t="s">
        <v>8</v>
      </c>
      <c r="B558" s="3" t="s">
        <v>854</v>
      </c>
      <c r="C558" s="4" t="str">
        <f>HYPERLINK("http://www.rncp.cncp.gouv.fr/grand-public/visualisationFiche?format=fr&amp;fiche=13043","13043")</f>
        <v>13043</v>
      </c>
      <c r="D558" s="4" t="str">
        <f>HYPERLINK("http://www.intercariforef.org/formations/certification-75444.html","75444")</f>
        <v>75444</v>
      </c>
      <c r="E558" s="5">
        <v>127827</v>
      </c>
      <c r="F558" s="5" t="s">
        <v>10</v>
      </c>
      <c r="G558" s="5" t="s">
        <v>11</v>
      </c>
      <c r="H558" s="3" t="s">
        <v>855</v>
      </c>
    </row>
    <row r="559" spans="1:8" ht="27.6" x14ac:dyDescent="0.25">
      <c r="A559" s="3" t="s">
        <v>8</v>
      </c>
      <c r="B559" s="3" t="s">
        <v>856</v>
      </c>
      <c r="C559" s="4" t="str">
        <f>HYPERLINK("http://www.rncp.cncp.gouv.fr/grand-public/visualisationFiche?format=fr&amp;fiche=13055","13055")</f>
        <v>13055</v>
      </c>
      <c r="D559" s="4" t="str">
        <f>HYPERLINK("http://www.intercariforef.org/formations/certification-75447.html","75447")</f>
        <v>75447</v>
      </c>
      <c r="E559" s="5">
        <v>10313</v>
      </c>
      <c r="F559" s="5" t="s">
        <v>10</v>
      </c>
      <c r="G559" s="5" t="s">
        <v>11</v>
      </c>
      <c r="H559" s="3" t="s">
        <v>855</v>
      </c>
    </row>
    <row r="560" spans="1:8" ht="13.8" x14ac:dyDescent="0.25">
      <c r="A560" s="3" t="s">
        <v>8</v>
      </c>
      <c r="B560" s="3" t="s">
        <v>857</v>
      </c>
      <c r="C560" s="4" t="str">
        <f>HYPERLINK("http://www.rncp.cncp.gouv.fr/grand-public/visualisationFiche?format=fr&amp;fiche=14924","14924")</f>
        <v>14924</v>
      </c>
      <c r="D560" s="4" t="str">
        <f>HYPERLINK("http://www.intercariforef.org/formations/certification-82232.html","82232")</f>
        <v>82232</v>
      </c>
      <c r="E560" s="5">
        <v>17535</v>
      </c>
      <c r="F560" s="5" t="s">
        <v>10</v>
      </c>
      <c r="G560" s="5" t="s">
        <v>11</v>
      </c>
      <c r="H560" s="3" t="s">
        <v>726</v>
      </c>
    </row>
    <row r="561" spans="1:8" ht="27.6" x14ac:dyDescent="0.25">
      <c r="A561" s="3" t="s">
        <v>8</v>
      </c>
      <c r="B561" s="3" t="s">
        <v>858</v>
      </c>
      <c r="C561" s="5"/>
      <c r="D561" s="4" t="str">
        <f>HYPERLINK("http://www.intercariforef.org/formations/certification-79193.html","79193")</f>
        <v>79193</v>
      </c>
      <c r="E561" s="5">
        <v>162789</v>
      </c>
      <c r="F561" s="5" t="s">
        <v>721</v>
      </c>
      <c r="G561" s="5" t="s">
        <v>11</v>
      </c>
      <c r="H561" s="3" t="s">
        <v>850</v>
      </c>
    </row>
    <row r="562" spans="1:8" ht="27.6" x14ac:dyDescent="0.25">
      <c r="A562" s="3" t="s">
        <v>8</v>
      </c>
      <c r="B562" s="3" t="s">
        <v>859</v>
      </c>
      <c r="C562" s="5"/>
      <c r="D562" s="4" t="str">
        <f>HYPERLINK("http://www.intercariforef.org/formations/certification-69085.html","69085")</f>
        <v>69085</v>
      </c>
      <c r="E562" s="5">
        <v>162794</v>
      </c>
      <c r="F562" s="5" t="s">
        <v>721</v>
      </c>
      <c r="G562" s="5" t="s">
        <v>11</v>
      </c>
      <c r="H562" s="3" t="s">
        <v>845</v>
      </c>
    </row>
    <row r="563" spans="1:8" ht="27.6" x14ac:dyDescent="0.25">
      <c r="A563" s="3" t="s">
        <v>8</v>
      </c>
      <c r="B563" s="3" t="s">
        <v>860</v>
      </c>
      <c r="C563" s="4" t="str">
        <f>HYPERLINK("http://www.rncp.cncp.gouv.fr/grand-public/visualisationFiche?format=fr&amp;fiche=10168","10168")</f>
        <v>10168</v>
      </c>
      <c r="D563" s="4" t="str">
        <f>HYPERLINK("http://www.intercariforef.org/formations/certification-62261.html","62261")</f>
        <v>62261</v>
      </c>
      <c r="E563" s="5">
        <v>162796</v>
      </c>
      <c r="F563" s="5" t="s">
        <v>721</v>
      </c>
      <c r="G563" s="5" t="s">
        <v>11</v>
      </c>
      <c r="H563" s="3" t="s">
        <v>763</v>
      </c>
    </row>
    <row r="564" spans="1:8" ht="27.6" x14ac:dyDescent="0.25">
      <c r="A564" s="3" t="s">
        <v>8</v>
      </c>
      <c r="B564" s="3" t="s">
        <v>861</v>
      </c>
      <c r="C564" s="4" t="str">
        <f>HYPERLINK("http://www.rncp.cncp.gouv.fr/grand-public/visualisationFiche?format=fr&amp;fiche=15999","15999")</f>
        <v>15999</v>
      </c>
      <c r="D564" s="4" t="str">
        <f>HYPERLINK("http://www.intercariforef.org/formations/certification-75717.html","75717")</f>
        <v>75717</v>
      </c>
      <c r="E564" s="5">
        <v>162792</v>
      </c>
      <c r="F564" s="5" t="s">
        <v>721</v>
      </c>
      <c r="G564" s="5" t="s">
        <v>11</v>
      </c>
      <c r="H564" s="3" t="s">
        <v>845</v>
      </c>
    </row>
    <row r="565" spans="1:8" ht="27.6" x14ac:dyDescent="0.25">
      <c r="A565" s="3" t="s">
        <v>8</v>
      </c>
      <c r="B565" s="3" t="s">
        <v>862</v>
      </c>
      <c r="C565" s="4" t="str">
        <f>HYPERLINK("http://www.rncp.cncp.gouv.fr/grand-public/visualisationFiche?format=fr&amp;fiche=11831","11831")</f>
        <v>11831</v>
      </c>
      <c r="D565" s="4" t="str">
        <f>HYPERLINK("http://www.intercariforef.org/formations/certification-75715.html","75715")</f>
        <v>75715</v>
      </c>
      <c r="E565" s="5">
        <v>162797</v>
      </c>
      <c r="F565" s="5" t="s">
        <v>721</v>
      </c>
      <c r="G565" s="5" t="s">
        <v>11</v>
      </c>
      <c r="H565" s="3" t="s">
        <v>845</v>
      </c>
    </row>
    <row r="566" spans="1:8" ht="27.6" x14ac:dyDescent="0.25">
      <c r="A566" s="3" t="s">
        <v>8</v>
      </c>
      <c r="B566" s="3" t="s">
        <v>863</v>
      </c>
      <c r="C566" s="4" t="str">
        <f>HYPERLINK("http://www.rncp.cncp.gouv.fr/grand-public/visualisationFiche?format=fr&amp;fiche=11772","11772")</f>
        <v>11772</v>
      </c>
      <c r="D566" s="4" t="str">
        <f>HYPERLINK("http://www.intercariforef.org/formations/certification-63792.html","63792")</f>
        <v>63792</v>
      </c>
      <c r="E566" s="5">
        <v>162798</v>
      </c>
      <c r="F566" s="5" t="s">
        <v>721</v>
      </c>
      <c r="G566" s="5" t="s">
        <v>11</v>
      </c>
      <c r="H566" s="3" t="s">
        <v>737</v>
      </c>
    </row>
    <row r="567" spans="1:8" ht="41.4" x14ac:dyDescent="0.25">
      <c r="A567" s="3" t="s">
        <v>8</v>
      </c>
      <c r="B567" s="3" t="s">
        <v>864</v>
      </c>
      <c r="C567" s="4" t="str">
        <f>HYPERLINK("http://www.rncp.cncp.gouv.fr/grand-public/visualisationFiche?format=fr&amp;fiche=12233","12233")</f>
        <v>12233</v>
      </c>
      <c r="D567" s="4" t="str">
        <f>HYPERLINK("http://www.intercariforef.org/formations/certification-52110.html","52110")</f>
        <v>52110</v>
      </c>
      <c r="E567" s="5">
        <v>10321</v>
      </c>
      <c r="F567" s="5" t="s">
        <v>10</v>
      </c>
      <c r="G567" s="5" t="s">
        <v>11</v>
      </c>
      <c r="H567" s="3" t="s">
        <v>746</v>
      </c>
    </row>
    <row r="568" spans="1:8" ht="27.6" x14ac:dyDescent="0.25">
      <c r="A568" s="3" t="s">
        <v>8</v>
      </c>
      <c r="B568" s="3" t="s">
        <v>865</v>
      </c>
      <c r="C568" s="4" t="str">
        <f>HYPERLINK("http://www.rncp.cncp.gouv.fr/grand-public/visualisationFiche?format=fr&amp;fiche=12254","12254")</f>
        <v>12254</v>
      </c>
      <c r="D568" s="4" t="str">
        <f>HYPERLINK("http://www.intercariforef.org/formations/certification-73154.html","73154")</f>
        <v>73154</v>
      </c>
      <c r="E568" s="5">
        <v>10324</v>
      </c>
      <c r="F568" s="5" t="s">
        <v>10</v>
      </c>
      <c r="G568" s="5" t="s">
        <v>11</v>
      </c>
      <c r="H568" s="3" t="s">
        <v>746</v>
      </c>
    </row>
    <row r="569" spans="1:8" ht="13.8" x14ac:dyDescent="0.25">
      <c r="A569" s="3" t="s">
        <v>8</v>
      </c>
      <c r="B569" s="3" t="s">
        <v>866</v>
      </c>
      <c r="C569" s="4" t="str">
        <f>HYPERLINK("http://www.rncp.cncp.gouv.fr/grand-public/visualisationFiche?format=fr&amp;fiche=11971","11971")</f>
        <v>11971</v>
      </c>
      <c r="D569" s="4" t="str">
        <f>HYPERLINK("http://www.intercariforef.org/formations/certification-65862.html","65862")</f>
        <v>65862</v>
      </c>
      <c r="E569" s="5">
        <v>131821</v>
      </c>
      <c r="F569" s="5" t="s">
        <v>10</v>
      </c>
      <c r="G569" s="5" t="s">
        <v>11</v>
      </c>
      <c r="H569" s="3" t="s">
        <v>737</v>
      </c>
    </row>
    <row r="570" spans="1:8" ht="27.6" x14ac:dyDescent="0.25">
      <c r="A570" s="3" t="s">
        <v>8</v>
      </c>
      <c r="B570" s="3" t="s">
        <v>867</v>
      </c>
      <c r="C570" s="4" t="str">
        <f>HYPERLINK("http://www.rncp.cncp.gouv.fr/grand-public/visualisationFiche?format=fr&amp;fiche=9564","9564")</f>
        <v>9564</v>
      </c>
      <c r="D570" s="4" t="str">
        <f>HYPERLINK("http://www.intercariforef.org/formations/certification-65127.html","65127")</f>
        <v>65127</v>
      </c>
      <c r="E570" s="5">
        <v>11051</v>
      </c>
      <c r="F570" s="5" t="s">
        <v>10</v>
      </c>
      <c r="G570" s="5" t="s">
        <v>11</v>
      </c>
      <c r="H570" s="3" t="s">
        <v>798</v>
      </c>
    </row>
    <row r="571" spans="1:8" ht="27.6" x14ac:dyDescent="0.25">
      <c r="A571" s="3" t="s">
        <v>8</v>
      </c>
      <c r="B571" s="3" t="s">
        <v>868</v>
      </c>
      <c r="C571" s="4" t="str">
        <f>HYPERLINK("http://www.rncp.cncp.gouv.fr/grand-public/visualisationFiche?format=fr&amp;fiche=18507","18507")</f>
        <v>18507</v>
      </c>
      <c r="D571" s="4" t="str">
        <f>HYPERLINK("http://www.intercariforef.org/formations/certification-60852.html","60852")</f>
        <v>60852</v>
      </c>
      <c r="E571" s="5">
        <v>10406</v>
      </c>
      <c r="F571" s="5" t="s">
        <v>10</v>
      </c>
      <c r="G571" s="5" t="s">
        <v>11</v>
      </c>
      <c r="H571" s="3" t="s">
        <v>813</v>
      </c>
    </row>
    <row r="572" spans="1:8" ht="27.6" x14ac:dyDescent="0.25">
      <c r="A572" s="3" t="s">
        <v>8</v>
      </c>
      <c r="B572" s="3" t="s">
        <v>869</v>
      </c>
      <c r="C572" s="4" t="str">
        <f>HYPERLINK("http://www.rncp.cncp.gouv.fr/grand-public/visualisationFiche?format=fr&amp;fiche=18505","18505")</f>
        <v>18505</v>
      </c>
      <c r="D572" s="4" t="str">
        <f>HYPERLINK("http://www.intercariforef.org/formations/certification-60853.html","60853")</f>
        <v>60853</v>
      </c>
      <c r="E572" s="5">
        <v>10401</v>
      </c>
      <c r="F572" s="5" t="s">
        <v>10</v>
      </c>
      <c r="G572" s="5" t="s">
        <v>11</v>
      </c>
      <c r="H572" s="3" t="s">
        <v>813</v>
      </c>
    </row>
    <row r="573" spans="1:8" ht="27.6" x14ac:dyDescent="0.25">
      <c r="A573" s="3" t="s">
        <v>8</v>
      </c>
      <c r="B573" s="3" t="s">
        <v>870</v>
      </c>
      <c r="C573" s="4" t="str">
        <f>HYPERLINK("http://www.rncp.cncp.gouv.fr/grand-public/visualisationFiche?format=fr&amp;fiche=6199","6199")</f>
        <v>6199</v>
      </c>
      <c r="D573" s="4" t="str">
        <f>HYPERLINK("http://www.intercariforef.org/formations/certification-52019.html","52019")</f>
        <v>52019</v>
      </c>
      <c r="E573" s="5">
        <v>10349</v>
      </c>
      <c r="F573" s="5" t="s">
        <v>10</v>
      </c>
      <c r="G573" s="5" t="s">
        <v>11</v>
      </c>
      <c r="H573" s="3" t="s">
        <v>776</v>
      </c>
    </row>
    <row r="574" spans="1:8" ht="27.6" x14ac:dyDescent="0.25">
      <c r="A574" s="3" t="s">
        <v>8</v>
      </c>
      <c r="B574" s="3" t="s">
        <v>871</v>
      </c>
      <c r="C574" s="4" t="str">
        <f>HYPERLINK("http://www.rncp.cncp.gouv.fr/grand-public/visualisationFiche?format=fr&amp;fiche=11320","11320")</f>
        <v>11320</v>
      </c>
      <c r="D574" s="4" t="str">
        <f>HYPERLINK("http://www.intercariforef.org/formations/certification-60551.html","60551")</f>
        <v>60551</v>
      </c>
      <c r="E574" s="5">
        <v>10415</v>
      </c>
      <c r="F574" s="5" t="s">
        <v>10</v>
      </c>
      <c r="G574" s="5" t="s">
        <v>11</v>
      </c>
      <c r="H574" s="3" t="s">
        <v>758</v>
      </c>
    </row>
    <row r="575" spans="1:8" ht="27.6" x14ac:dyDescent="0.25">
      <c r="A575" s="3" t="s">
        <v>8</v>
      </c>
      <c r="B575" s="3" t="s">
        <v>872</v>
      </c>
      <c r="C575" s="4" t="str">
        <f>HYPERLINK("http://www.rncp.cncp.gouv.fr/grand-public/visualisationFiche?format=fr&amp;fiche=11330","11330")</f>
        <v>11330</v>
      </c>
      <c r="D575" s="4" t="str">
        <f>HYPERLINK("http://www.intercariforef.org/formations/certification-67645.html","67645")</f>
        <v>67645</v>
      </c>
      <c r="E575" s="5">
        <v>11060</v>
      </c>
      <c r="F575" s="5" t="s">
        <v>10</v>
      </c>
      <c r="G575" s="5" t="s">
        <v>11</v>
      </c>
      <c r="H575" s="3" t="s">
        <v>758</v>
      </c>
    </row>
    <row r="576" spans="1:8" ht="27.6" x14ac:dyDescent="0.25">
      <c r="A576" s="3" t="s">
        <v>8</v>
      </c>
      <c r="B576" s="3" t="s">
        <v>873</v>
      </c>
      <c r="C576" s="4" t="str">
        <f>HYPERLINK("http://www.rncp.cncp.gouv.fr/grand-public/visualisationFiche?format=fr&amp;fiche=11329","11329")</f>
        <v>11329</v>
      </c>
      <c r="D576" s="4" t="str">
        <f>HYPERLINK("http://www.intercariforef.org/formations/certification-60555.html","60555")</f>
        <v>60555</v>
      </c>
      <c r="E576" s="5">
        <v>11068</v>
      </c>
      <c r="F576" s="5" t="s">
        <v>10</v>
      </c>
      <c r="G576" s="5" t="s">
        <v>11</v>
      </c>
      <c r="H576" s="3" t="s">
        <v>758</v>
      </c>
    </row>
    <row r="577" spans="1:8" ht="27.6" x14ac:dyDescent="0.25">
      <c r="A577" s="3" t="s">
        <v>8</v>
      </c>
      <c r="B577" s="3" t="s">
        <v>874</v>
      </c>
      <c r="C577" s="4" t="str">
        <f>HYPERLINK("http://www.rncp.cncp.gouv.fr/grand-public/visualisationFiche?format=fr&amp;fiche=11331","11331")</f>
        <v>11331</v>
      </c>
      <c r="D577" s="4" t="str">
        <f>HYPERLINK("http://www.intercariforef.org/formations/certification-60550.html","60550")</f>
        <v>60550</v>
      </c>
      <c r="E577" s="5">
        <v>11078</v>
      </c>
      <c r="F577" s="5" t="s">
        <v>10</v>
      </c>
      <c r="G577" s="5" t="s">
        <v>11</v>
      </c>
      <c r="H577" s="3" t="s">
        <v>758</v>
      </c>
    </row>
    <row r="578" spans="1:8" ht="27.6" x14ac:dyDescent="0.25">
      <c r="A578" s="3" t="s">
        <v>8</v>
      </c>
      <c r="B578" s="3" t="s">
        <v>875</v>
      </c>
      <c r="C578" s="4" t="str">
        <f>HYPERLINK("http://www.rncp.cncp.gouv.fr/grand-public/visualisationFiche?format=fr&amp;fiche=11169","11169")</f>
        <v>11169</v>
      </c>
      <c r="D578" s="4" t="str">
        <f>HYPERLINK("http://www.intercariforef.org/formations/certification-60528.html","60528")</f>
        <v>60528</v>
      </c>
      <c r="E578" s="5">
        <v>11008</v>
      </c>
      <c r="F578" s="5" t="s">
        <v>10</v>
      </c>
      <c r="G578" s="5" t="s">
        <v>11</v>
      </c>
      <c r="H578" s="3" t="s">
        <v>758</v>
      </c>
    </row>
    <row r="579" spans="1:8" ht="27.6" x14ac:dyDescent="0.25">
      <c r="A579" s="3" t="s">
        <v>8</v>
      </c>
      <c r="B579" s="3" t="s">
        <v>876</v>
      </c>
      <c r="C579" s="5"/>
      <c r="D579" s="4" t="str">
        <f>HYPERLINK("http://www.intercariforef.org/formations/certification-65236.html","65236")</f>
        <v>65236</v>
      </c>
      <c r="E579" s="5">
        <v>131771</v>
      </c>
      <c r="F579" s="5" t="s">
        <v>10</v>
      </c>
      <c r="G579" s="5" t="s">
        <v>11</v>
      </c>
      <c r="H579" s="3" t="s">
        <v>742</v>
      </c>
    </row>
    <row r="580" spans="1:8" ht="27.6" x14ac:dyDescent="0.25">
      <c r="A580" s="3" t="s">
        <v>8</v>
      </c>
      <c r="B580" s="3" t="s">
        <v>877</v>
      </c>
      <c r="C580" s="4" t="str">
        <f>HYPERLINK("http://www.rncp.cncp.gouv.fr/grand-public/visualisationFiche?format=fr&amp;fiche=10692","10692")</f>
        <v>10692</v>
      </c>
      <c r="D580" s="4" t="str">
        <f>HYPERLINK("http://www.intercariforef.org/formations/certification-62401.html","62401")</f>
        <v>62401</v>
      </c>
      <c r="E580" s="5">
        <v>10409</v>
      </c>
      <c r="F580" s="5" t="s">
        <v>10</v>
      </c>
      <c r="G580" s="5" t="s">
        <v>11</v>
      </c>
      <c r="H580" s="3" t="s">
        <v>763</v>
      </c>
    </row>
    <row r="581" spans="1:8" ht="27.6" x14ac:dyDescent="0.25">
      <c r="A581" s="3" t="s">
        <v>8</v>
      </c>
      <c r="B581" s="3" t="s">
        <v>878</v>
      </c>
      <c r="C581" s="4" t="str">
        <f>HYPERLINK("http://www.rncp.cncp.gouv.fr/grand-public/visualisationFiche?format=fr&amp;fiche=12966","12966")</f>
        <v>12966</v>
      </c>
      <c r="D581" s="4" t="str">
        <f>HYPERLINK("http://www.intercariforef.org/formations/certification-75623.html","75623")</f>
        <v>75623</v>
      </c>
      <c r="E581" s="5">
        <v>11139</v>
      </c>
      <c r="F581" s="5" t="s">
        <v>10</v>
      </c>
      <c r="G581" s="5" t="s">
        <v>11</v>
      </c>
      <c r="H581" s="3" t="s">
        <v>514</v>
      </c>
    </row>
    <row r="582" spans="1:8" ht="27.6" x14ac:dyDescent="0.25">
      <c r="A582" s="3" t="s">
        <v>8</v>
      </c>
      <c r="B582" s="3" t="s">
        <v>879</v>
      </c>
      <c r="C582" s="4" t="str">
        <f>HYPERLINK("http://www.rncp.cncp.gouv.fr/grand-public/visualisationFiche?format=fr&amp;fiche=18596","18596")</f>
        <v>18596</v>
      </c>
      <c r="D582" s="4" t="str">
        <f>HYPERLINK("http://www.intercariforef.org/formations/certification-62435.html","62435")</f>
        <v>62435</v>
      </c>
      <c r="E582" s="5">
        <v>11147</v>
      </c>
      <c r="F582" s="5" t="s">
        <v>10</v>
      </c>
      <c r="G582" s="5" t="s">
        <v>11</v>
      </c>
      <c r="H582" s="3" t="s">
        <v>880</v>
      </c>
    </row>
    <row r="583" spans="1:8" ht="27.6" x14ac:dyDescent="0.25">
      <c r="A583" s="3" t="s">
        <v>8</v>
      </c>
      <c r="B583" s="3" t="s">
        <v>881</v>
      </c>
      <c r="C583" s="5"/>
      <c r="D583" s="4" t="str">
        <f>HYPERLINK("http://www.intercariforef.org/formations/certification-67643.html","67643")</f>
        <v>67643</v>
      </c>
      <c r="E583" s="5">
        <v>11250</v>
      </c>
      <c r="F583" s="5" t="s">
        <v>10</v>
      </c>
      <c r="G583" s="5" t="s">
        <v>11</v>
      </c>
      <c r="H583" s="3" t="s">
        <v>882</v>
      </c>
    </row>
    <row r="584" spans="1:8" ht="27.6" x14ac:dyDescent="0.25">
      <c r="A584" s="3" t="s">
        <v>8</v>
      </c>
      <c r="B584" s="3" t="s">
        <v>883</v>
      </c>
      <c r="C584" s="4" t="str">
        <f>HYPERLINK("http://www.rncp.cncp.gouv.fr/grand-public/visualisationFiche?format=fr&amp;fiche=11344","11344")</f>
        <v>11344</v>
      </c>
      <c r="D584" s="4" t="str">
        <f>HYPERLINK("http://www.intercariforef.org/formations/certification-62434.html","62434")</f>
        <v>62434</v>
      </c>
      <c r="E584" s="5">
        <v>11267</v>
      </c>
      <c r="F584" s="5" t="s">
        <v>10</v>
      </c>
      <c r="G584" s="5" t="s">
        <v>11</v>
      </c>
      <c r="H584" s="3" t="s">
        <v>758</v>
      </c>
    </row>
    <row r="585" spans="1:8" ht="27.6" x14ac:dyDescent="0.25">
      <c r="A585" s="3" t="s">
        <v>8</v>
      </c>
      <c r="B585" s="3" t="s">
        <v>884</v>
      </c>
      <c r="C585" s="4" t="str">
        <f>HYPERLINK("http://www.rncp.cncp.gouv.fr/grand-public/visualisationFiche?format=fr&amp;fiche=6752","6752")</f>
        <v>6752</v>
      </c>
      <c r="D585" s="4" t="str">
        <f>HYPERLINK("http://www.intercariforef.org/formations/certification-77925.html","77925")</f>
        <v>77925</v>
      </c>
      <c r="E585" s="5">
        <v>10178</v>
      </c>
      <c r="F585" s="5" t="s">
        <v>10</v>
      </c>
      <c r="G585" s="5" t="s">
        <v>11</v>
      </c>
      <c r="H585" s="3" t="s">
        <v>734</v>
      </c>
    </row>
    <row r="586" spans="1:8" ht="41.4" x14ac:dyDescent="0.25">
      <c r="A586" s="3" t="s">
        <v>8</v>
      </c>
      <c r="B586" s="3" t="s">
        <v>885</v>
      </c>
      <c r="C586" s="4" t="str">
        <f>HYPERLINK("http://www.rncp.cncp.gouv.fr/grand-public/visualisationFiche?format=fr&amp;fiche=18905","18905")</f>
        <v>18905</v>
      </c>
      <c r="D586" s="4" t="str">
        <f>HYPERLINK("http://www.intercariforef.org/formations/certification-78302.html","78302")</f>
        <v>78302</v>
      </c>
      <c r="E586" s="5">
        <v>10337</v>
      </c>
      <c r="F586" s="5" t="s">
        <v>10</v>
      </c>
      <c r="G586" s="5" t="s">
        <v>11</v>
      </c>
      <c r="H586" s="3" t="s">
        <v>763</v>
      </c>
    </row>
    <row r="587" spans="1:8" ht="27.6" x14ac:dyDescent="0.25">
      <c r="A587" s="3" t="s">
        <v>8</v>
      </c>
      <c r="B587" s="3" t="s">
        <v>886</v>
      </c>
      <c r="C587" s="5"/>
      <c r="D587" s="4" t="str">
        <f>HYPERLINK("http://www.intercariforef.org/formations/certification-78304.html","78304")</f>
        <v>78304</v>
      </c>
      <c r="E587" s="5">
        <v>10411</v>
      </c>
      <c r="F587" s="5" t="s">
        <v>10</v>
      </c>
      <c r="G587" s="5" t="s">
        <v>11</v>
      </c>
      <c r="H587" s="3" t="s">
        <v>763</v>
      </c>
    </row>
    <row r="588" spans="1:8" ht="27.6" x14ac:dyDescent="0.25">
      <c r="A588" s="3" t="s">
        <v>8</v>
      </c>
      <c r="B588" s="3" t="s">
        <v>887</v>
      </c>
      <c r="C588" s="4" t="str">
        <f>HYPERLINK("http://www.rncp.cncp.gouv.fr/grand-public/visualisationFiche?format=fr&amp;fiche=5664","5664")</f>
        <v>5664</v>
      </c>
      <c r="D588" s="4" t="str">
        <f>HYPERLINK("http://www.intercariforef.org/formations/certification-67036.html","67036")</f>
        <v>67036</v>
      </c>
      <c r="E588" s="5">
        <v>11316</v>
      </c>
      <c r="F588" s="5" t="s">
        <v>10</v>
      </c>
      <c r="G588" s="5" t="s">
        <v>11</v>
      </c>
      <c r="H588" s="3" t="s">
        <v>813</v>
      </c>
    </row>
    <row r="589" spans="1:8" ht="27.6" x14ac:dyDescent="0.25">
      <c r="A589" s="3" t="s">
        <v>8</v>
      </c>
      <c r="B589" s="3" t="s">
        <v>888</v>
      </c>
      <c r="C589" s="4" t="str">
        <f>HYPERLINK("http://www.rncp.cncp.gouv.fr/grand-public/visualisationFiche?format=fr&amp;fiche=17119","17119")</f>
        <v>17119</v>
      </c>
      <c r="D589" s="4" t="str">
        <f>HYPERLINK("http://www.intercariforef.org/formations/certification-79694.html","79694")</f>
        <v>79694</v>
      </c>
      <c r="E589" s="5">
        <v>10417</v>
      </c>
      <c r="F589" s="5" t="s">
        <v>10</v>
      </c>
      <c r="G589" s="5" t="s">
        <v>11</v>
      </c>
      <c r="H589" s="3" t="s">
        <v>785</v>
      </c>
    </row>
    <row r="590" spans="1:8" ht="13.8" x14ac:dyDescent="0.25">
      <c r="A590" s="3" t="s">
        <v>8</v>
      </c>
      <c r="B590" s="3" t="s">
        <v>889</v>
      </c>
      <c r="C590" s="4" t="str">
        <f>HYPERLINK("http://www.rncp.cncp.gouv.fr/grand-public/visualisationFiche?format=fr&amp;fiche=12529","12529")</f>
        <v>12529</v>
      </c>
      <c r="D590" s="4" t="str">
        <f>HYPERLINK("http://www.intercariforef.org/formations/certification-74396.html","74396")</f>
        <v>74396</v>
      </c>
      <c r="E590" s="5">
        <v>10182</v>
      </c>
      <c r="F590" s="5" t="s">
        <v>10</v>
      </c>
      <c r="G590" s="5" t="s">
        <v>11</v>
      </c>
      <c r="H590" s="3" t="s">
        <v>771</v>
      </c>
    </row>
    <row r="591" spans="1:8" ht="27.6" x14ac:dyDescent="0.25">
      <c r="A591" s="3" t="s">
        <v>8</v>
      </c>
      <c r="B591" s="3" t="s">
        <v>890</v>
      </c>
      <c r="C591" s="4" t="str">
        <f>HYPERLINK("http://www.rncp.cncp.gouv.fr/grand-public/visualisationFiche?format=fr&amp;fiche=12463","12463")</f>
        <v>12463</v>
      </c>
      <c r="D591" s="4" t="str">
        <f>HYPERLINK("http://www.intercariforef.org/formations/certification-74398.html","74398")</f>
        <v>74398</v>
      </c>
      <c r="E591" s="5">
        <v>10184</v>
      </c>
      <c r="F591" s="5" t="s">
        <v>10</v>
      </c>
      <c r="G591" s="5" t="s">
        <v>11</v>
      </c>
      <c r="H591" s="3" t="s">
        <v>771</v>
      </c>
    </row>
    <row r="592" spans="1:8" ht="13.8" x14ac:dyDescent="0.25">
      <c r="A592" s="3" t="s">
        <v>8</v>
      </c>
      <c r="B592" s="3" t="s">
        <v>891</v>
      </c>
      <c r="C592" s="5"/>
      <c r="D592" s="4" t="str">
        <f>HYPERLINK("http://www.intercariforef.org/formations/certification-83034.html","83034")</f>
        <v>83034</v>
      </c>
      <c r="E592" s="5">
        <v>10115</v>
      </c>
      <c r="F592" s="5" t="s">
        <v>10</v>
      </c>
      <c r="G592" s="5" t="s">
        <v>11</v>
      </c>
      <c r="H592" s="3" t="s">
        <v>892</v>
      </c>
    </row>
    <row r="593" spans="1:8" ht="27.6" x14ac:dyDescent="0.25">
      <c r="A593" s="3" t="s">
        <v>8</v>
      </c>
      <c r="B593" s="3" t="s">
        <v>893</v>
      </c>
      <c r="C593" s="4" t="str">
        <f>HYPERLINK("http://www.rncp.cncp.gouv.fr/grand-public/visualisationFiche?format=fr&amp;fiche=16887","16887")</f>
        <v>16887</v>
      </c>
      <c r="D593" s="4" t="str">
        <f>HYPERLINK("http://www.intercariforef.org/formations/certification-71180.html","71180")</f>
        <v>71180</v>
      </c>
      <c r="E593" s="5">
        <v>10419</v>
      </c>
      <c r="F593" s="5" t="s">
        <v>10</v>
      </c>
      <c r="G593" s="5" t="s">
        <v>11</v>
      </c>
      <c r="H593" s="3" t="s">
        <v>894</v>
      </c>
    </row>
    <row r="594" spans="1:8" ht="27.6" x14ac:dyDescent="0.25">
      <c r="A594" s="3" t="s">
        <v>8</v>
      </c>
      <c r="B594" s="3" t="s">
        <v>895</v>
      </c>
      <c r="C594" s="5"/>
      <c r="D594" s="4" t="str">
        <f>HYPERLINK("http://www.intercariforef.org/formations/certification-79771.html","79771")</f>
        <v>79771</v>
      </c>
      <c r="E594" s="5">
        <v>145523</v>
      </c>
      <c r="F594" s="5" t="s">
        <v>10</v>
      </c>
      <c r="G594" s="5" t="s">
        <v>11</v>
      </c>
      <c r="H594" s="3" t="s">
        <v>789</v>
      </c>
    </row>
    <row r="595" spans="1:8" ht="27.6" x14ac:dyDescent="0.25">
      <c r="A595" s="3" t="s">
        <v>8</v>
      </c>
      <c r="B595" s="3" t="s">
        <v>896</v>
      </c>
      <c r="C595" s="4" t="str">
        <f>HYPERLINK("http://www.rncp.cncp.gouv.fr/grand-public/visualisationFiche?format=fr&amp;fiche=6953","6953")</f>
        <v>6953</v>
      </c>
      <c r="D595" s="4" t="str">
        <f>HYPERLINK("http://www.intercariforef.org/formations/certification-73199.html","73199")</f>
        <v>73199</v>
      </c>
      <c r="E595" s="5">
        <v>10828</v>
      </c>
      <c r="F595" s="5" t="s">
        <v>10</v>
      </c>
      <c r="G595" s="5" t="s">
        <v>11</v>
      </c>
      <c r="H595" s="3" t="s">
        <v>776</v>
      </c>
    </row>
    <row r="596" spans="1:8" ht="27.6" x14ac:dyDescent="0.25">
      <c r="A596" s="3" t="s">
        <v>8</v>
      </c>
      <c r="B596" s="3" t="s">
        <v>897</v>
      </c>
      <c r="C596" s="4" t="str">
        <f>HYPERLINK("http://www.rncp.cncp.gouv.fr/grand-public/visualisationFiche?format=fr&amp;fiche=6874","6874")</f>
        <v>6874</v>
      </c>
      <c r="D596" s="4" t="str">
        <f>HYPERLINK("http://www.intercariforef.org/formations/certification-73198.html","73198")</f>
        <v>73198</v>
      </c>
      <c r="E596" s="5">
        <v>10433</v>
      </c>
      <c r="F596" s="5" t="s">
        <v>10</v>
      </c>
      <c r="G596" s="5" t="s">
        <v>11</v>
      </c>
      <c r="H596" s="3" t="s">
        <v>776</v>
      </c>
    </row>
    <row r="597" spans="1:8" ht="27.6" x14ac:dyDescent="0.25">
      <c r="A597" s="3" t="s">
        <v>8</v>
      </c>
      <c r="B597" s="3" t="s">
        <v>898</v>
      </c>
      <c r="C597" s="4" t="str">
        <f>HYPERLINK("http://www.rncp.cncp.gouv.fr/grand-public/visualisationFiche?format=fr&amp;fiche=7231","7231")</f>
        <v>7231</v>
      </c>
      <c r="D597" s="4" t="str">
        <f>HYPERLINK("http://www.intercariforef.org/formations/certification-75466.html","75466")</f>
        <v>75466</v>
      </c>
      <c r="E597" s="5">
        <v>10242</v>
      </c>
      <c r="F597" s="5" t="s">
        <v>10</v>
      </c>
      <c r="G597" s="5" t="s">
        <v>11</v>
      </c>
      <c r="H597" s="3" t="s">
        <v>899</v>
      </c>
    </row>
    <row r="598" spans="1:8" ht="27.6" x14ac:dyDescent="0.25">
      <c r="A598" s="3" t="s">
        <v>8</v>
      </c>
      <c r="B598" s="3" t="s">
        <v>900</v>
      </c>
      <c r="C598" s="4" t="str">
        <f>HYPERLINK("http://www.rncp.cncp.gouv.fr/grand-public/visualisationFiche?format=fr&amp;fiche=7235","7235")</f>
        <v>7235</v>
      </c>
      <c r="D598" s="4" t="str">
        <f>HYPERLINK("http://www.intercariforef.org/formations/certification-56777.html","56777")</f>
        <v>56777</v>
      </c>
      <c r="E598" s="5">
        <v>10420</v>
      </c>
      <c r="F598" s="5" t="s">
        <v>10</v>
      </c>
      <c r="G598" s="5" t="s">
        <v>11</v>
      </c>
      <c r="H598" s="3" t="s">
        <v>899</v>
      </c>
    </row>
    <row r="599" spans="1:8" ht="27.6" x14ac:dyDescent="0.25">
      <c r="A599" s="3" t="s">
        <v>8</v>
      </c>
      <c r="B599" s="3" t="s">
        <v>901</v>
      </c>
      <c r="C599" s="5"/>
      <c r="D599" s="4" t="str">
        <f>HYPERLINK("http://www.intercariforef.org/formations/certification-72240.html","72240")</f>
        <v>72240</v>
      </c>
      <c r="E599" s="5">
        <v>10195</v>
      </c>
      <c r="F599" s="5" t="s">
        <v>10</v>
      </c>
      <c r="G599" s="5" t="s">
        <v>11</v>
      </c>
      <c r="H599" s="3" t="s">
        <v>771</v>
      </c>
    </row>
    <row r="600" spans="1:8" ht="27.6" x14ac:dyDescent="0.25">
      <c r="A600" s="3" t="s">
        <v>8</v>
      </c>
      <c r="B600" s="3" t="s">
        <v>902</v>
      </c>
      <c r="C600" s="4" t="str">
        <f>HYPERLINK("http://www.rncp.cncp.gouv.fr/grand-public/visualisationFiche?format=fr&amp;fiche=12493","12493")</f>
        <v>12493</v>
      </c>
      <c r="D600" s="4" t="str">
        <f>HYPERLINK("http://www.intercariforef.org/formations/certification-72244.html","72244")</f>
        <v>72244</v>
      </c>
      <c r="E600" s="5">
        <v>10214</v>
      </c>
      <c r="F600" s="5" t="s">
        <v>10</v>
      </c>
      <c r="G600" s="5" t="s">
        <v>11</v>
      </c>
      <c r="H600" s="3" t="s">
        <v>771</v>
      </c>
    </row>
    <row r="601" spans="1:8" ht="27.6" x14ac:dyDescent="0.25">
      <c r="A601" s="3" t="s">
        <v>8</v>
      </c>
      <c r="B601" s="3" t="s">
        <v>903</v>
      </c>
      <c r="C601" s="4" t="str">
        <f>HYPERLINK("http://www.rncp.cncp.gouv.fr/grand-public/visualisationFiche?format=fr&amp;fiche=12520","12520")</f>
        <v>12520</v>
      </c>
      <c r="D601" s="4" t="str">
        <f>HYPERLINK("http://www.intercariforef.org/formations/certification-72258.html","72258")</f>
        <v>72258</v>
      </c>
      <c r="E601" s="5">
        <v>10216</v>
      </c>
      <c r="F601" s="5" t="s">
        <v>10</v>
      </c>
      <c r="G601" s="5" t="s">
        <v>11</v>
      </c>
      <c r="H601" s="3" t="s">
        <v>771</v>
      </c>
    </row>
    <row r="602" spans="1:8" ht="27.6" x14ac:dyDescent="0.25">
      <c r="A602" s="3" t="s">
        <v>8</v>
      </c>
      <c r="B602" s="3" t="s">
        <v>904</v>
      </c>
      <c r="C602" s="5"/>
      <c r="D602" s="4" t="str">
        <f>HYPERLINK("http://www.intercariforef.org/formations/certification-78546.html","78546")</f>
        <v>78546</v>
      </c>
      <c r="E602" s="5">
        <v>10367</v>
      </c>
      <c r="F602" s="5" t="s">
        <v>10</v>
      </c>
      <c r="G602" s="5" t="s">
        <v>11</v>
      </c>
      <c r="H602" s="3" t="s">
        <v>905</v>
      </c>
    </row>
    <row r="603" spans="1:8" ht="13.8" x14ac:dyDescent="0.25">
      <c r="A603" s="3" t="s">
        <v>8</v>
      </c>
      <c r="B603" s="3" t="s">
        <v>906</v>
      </c>
      <c r="C603" s="4" t="str">
        <f>HYPERLINK("http://www.rncp.cncp.gouv.fr/grand-public/visualisationFiche?format=fr&amp;fiche=13540","13540")</f>
        <v>13540</v>
      </c>
      <c r="D603" s="4" t="str">
        <f>HYPERLINK("http://www.intercariforef.org/formations/certification-75720.html","75720")</f>
        <v>75720</v>
      </c>
      <c r="E603" s="5">
        <v>10927</v>
      </c>
      <c r="F603" s="5" t="s">
        <v>10</v>
      </c>
      <c r="G603" s="5" t="s">
        <v>11</v>
      </c>
      <c r="H603" s="3" t="s">
        <v>514</v>
      </c>
    </row>
    <row r="604" spans="1:8" ht="27.6" x14ac:dyDescent="0.25">
      <c r="A604" s="3" t="s">
        <v>8</v>
      </c>
      <c r="B604" s="3" t="s">
        <v>907</v>
      </c>
      <c r="C604" s="5"/>
      <c r="D604" s="4" t="str">
        <f>HYPERLINK("http://www.intercariforef.org/formations/certification-83019.html","83019")</f>
        <v>83019</v>
      </c>
      <c r="E604" s="5">
        <v>11146</v>
      </c>
      <c r="F604" s="5" t="s">
        <v>10</v>
      </c>
      <c r="G604" s="5" t="s">
        <v>11</v>
      </c>
      <c r="H604" s="3" t="s">
        <v>908</v>
      </c>
    </row>
    <row r="605" spans="1:8" ht="27.6" x14ac:dyDescent="0.25">
      <c r="A605" s="3" t="s">
        <v>8</v>
      </c>
      <c r="B605" s="3" t="s">
        <v>909</v>
      </c>
      <c r="C605" s="4" t="str">
        <f>HYPERLINK("http://www.rncp.cncp.gouv.fr/grand-public/visualisationFiche?format=fr&amp;fiche=10016","10016")</f>
        <v>10016</v>
      </c>
      <c r="D605" s="4" t="str">
        <f>HYPERLINK("http://www.intercariforef.org/formations/certification-64434.html","64434")</f>
        <v>64434</v>
      </c>
      <c r="E605" s="5">
        <v>10036</v>
      </c>
      <c r="F605" s="5" t="s">
        <v>10</v>
      </c>
      <c r="G605" s="5" t="s">
        <v>11</v>
      </c>
      <c r="H605" s="3" t="s">
        <v>733</v>
      </c>
    </row>
    <row r="606" spans="1:8" ht="27.6" x14ac:dyDescent="0.25">
      <c r="A606" s="3" t="s">
        <v>8</v>
      </c>
      <c r="B606" s="3" t="s">
        <v>910</v>
      </c>
      <c r="C606" s="4" t="str">
        <f>HYPERLINK("http://www.rncp.cncp.gouv.fr/grand-public/visualisationFiche?format=fr&amp;fiche=10009","10009")</f>
        <v>10009</v>
      </c>
      <c r="D606" s="4" t="str">
        <f>HYPERLINK("http://www.intercariforef.org/formations/certification-64441.html","64441")</f>
        <v>64441</v>
      </c>
      <c r="E606" s="5">
        <v>10109</v>
      </c>
      <c r="F606" s="5" t="s">
        <v>10</v>
      </c>
      <c r="G606" s="5" t="s">
        <v>11</v>
      </c>
      <c r="H606" s="3" t="s">
        <v>733</v>
      </c>
    </row>
    <row r="607" spans="1:8" ht="13.8" x14ac:dyDescent="0.25">
      <c r="A607" s="3" t="s">
        <v>8</v>
      </c>
      <c r="B607" s="3" t="s">
        <v>911</v>
      </c>
      <c r="C607" s="4" t="str">
        <f>HYPERLINK("http://www.rncp.cncp.gouv.fr/grand-public/visualisationFiche?format=fr&amp;fiche=5652","5652")</f>
        <v>5652</v>
      </c>
      <c r="D607" s="4" t="str">
        <f>HYPERLINK("http://www.intercariforef.org/formations/certification-11951.html","11951")</f>
        <v>11951</v>
      </c>
      <c r="E607" s="5">
        <v>145524</v>
      </c>
      <c r="F607" s="5" t="s">
        <v>10</v>
      </c>
      <c r="G607" s="5" t="s">
        <v>11</v>
      </c>
      <c r="H607" s="3" t="s">
        <v>813</v>
      </c>
    </row>
    <row r="608" spans="1:8" ht="27.6" x14ac:dyDescent="0.25">
      <c r="A608" s="3" t="s">
        <v>8</v>
      </c>
      <c r="B608" s="3" t="s">
        <v>912</v>
      </c>
      <c r="C608" s="4" t="str">
        <f>HYPERLINK("http://www.rncp.cncp.gouv.fr/grand-public/visualisationFiche?format=fr&amp;fiche=11325","11325")</f>
        <v>11325</v>
      </c>
      <c r="D608" s="4" t="str">
        <f>HYPERLINK("http://www.intercariforef.org/formations/certification-69150.html","69150")</f>
        <v>69150</v>
      </c>
      <c r="E608" s="5">
        <v>11141</v>
      </c>
      <c r="F608" s="5" t="s">
        <v>10</v>
      </c>
      <c r="G608" s="5" t="s">
        <v>11</v>
      </c>
      <c r="H608" s="3" t="s">
        <v>845</v>
      </c>
    </row>
    <row r="609" spans="1:8" ht="27.6" x14ac:dyDescent="0.25">
      <c r="A609" s="3" t="s">
        <v>8</v>
      </c>
      <c r="B609" s="3" t="s">
        <v>913</v>
      </c>
      <c r="C609" s="4" t="str">
        <f>HYPERLINK("http://www.rncp.cncp.gouv.fr/grand-public/visualisationFiche?format=fr&amp;fiche=17184","17184")</f>
        <v>17184</v>
      </c>
      <c r="D609" s="4" t="str">
        <f>HYPERLINK("http://www.intercariforef.org/formations/certification-45404.html","45404")</f>
        <v>45404</v>
      </c>
      <c r="E609" s="5">
        <v>127832</v>
      </c>
      <c r="F609" s="5" t="s">
        <v>10</v>
      </c>
      <c r="G609" s="5" t="s">
        <v>11</v>
      </c>
      <c r="H609" s="3" t="s">
        <v>815</v>
      </c>
    </row>
    <row r="610" spans="1:8" ht="27.6" x14ac:dyDescent="0.25">
      <c r="A610" s="3" t="s">
        <v>8</v>
      </c>
      <c r="B610" s="3" t="s">
        <v>914</v>
      </c>
      <c r="C610" s="4" t="str">
        <f>HYPERLINK("http://www.rncp.cncp.gouv.fr/grand-public/visualisationFiche?format=fr&amp;fiche=7295","7295")</f>
        <v>7295</v>
      </c>
      <c r="D610" s="4" t="str">
        <f>HYPERLINK("http://www.intercariforef.org/formations/certification-56773.html","56773")</f>
        <v>56773</v>
      </c>
      <c r="E610" s="5">
        <v>11320</v>
      </c>
      <c r="F610" s="5" t="s">
        <v>10</v>
      </c>
      <c r="G610" s="5" t="s">
        <v>11</v>
      </c>
      <c r="H610" s="3" t="s">
        <v>899</v>
      </c>
    </row>
    <row r="611" spans="1:8" ht="27.6" x14ac:dyDescent="0.25">
      <c r="A611" s="3" t="s">
        <v>8</v>
      </c>
      <c r="B611" s="3" t="s">
        <v>915</v>
      </c>
      <c r="C611" s="4" t="str">
        <f>HYPERLINK("http://www.rncp.cncp.gouv.fr/grand-public/visualisationFiche?format=fr&amp;fiche=9808","9808")</f>
        <v>9808</v>
      </c>
      <c r="D611" s="4" t="str">
        <f>HYPERLINK("http://www.intercariforef.org/formations/certification-67748.html","67748")</f>
        <v>67748</v>
      </c>
      <c r="E611" s="5">
        <v>10138</v>
      </c>
      <c r="F611" s="5" t="s">
        <v>10</v>
      </c>
      <c r="G611" s="5" t="s">
        <v>11</v>
      </c>
      <c r="H611" s="3" t="s">
        <v>763</v>
      </c>
    </row>
    <row r="612" spans="1:8" ht="27.6" x14ac:dyDescent="0.25">
      <c r="A612" s="3" t="s">
        <v>8</v>
      </c>
      <c r="B612" s="3" t="s">
        <v>916</v>
      </c>
      <c r="C612" s="4" t="str">
        <f>HYPERLINK("http://www.rncp.cncp.gouv.fr/grand-public/visualisationFiche?format=fr&amp;fiche=9806","9806")</f>
        <v>9806</v>
      </c>
      <c r="D612" s="4" t="str">
        <f>HYPERLINK("http://www.intercariforef.org/formations/certification-12088.html","12088")</f>
        <v>12088</v>
      </c>
      <c r="E612" s="5">
        <v>10139</v>
      </c>
      <c r="F612" s="5" t="s">
        <v>10</v>
      </c>
      <c r="G612" s="5" t="s">
        <v>11</v>
      </c>
      <c r="H612" s="3" t="s">
        <v>763</v>
      </c>
    </row>
    <row r="613" spans="1:8" ht="27.6" x14ac:dyDescent="0.25">
      <c r="A613" s="3" t="s">
        <v>8</v>
      </c>
      <c r="B613" s="3" t="s">
        <v>917</v>
      </c>
      <c r="C613" s="4" t="str">
        <f>HYPERLINK("http://www.rncp.cncp.gouv.fr/grand-public/visualisationFiche?format=fr&amp;fiche=13047","13047")</f>
        <v>13047</v>
      </c>
      <c r="D613" s="4" t="str">
        <f>HYPERLINK("http://www.intercariforef.org/formations/certification-65699.html","65699")</f>
        <v>65699</v>
      </c>
      <c r="E613" s="5">
        <v>10274</v>
      </c>
      <c r="F613" s="5" t="s">
        <v>10</v>
      </c>
      <c r="G613" s="5" t="s">
        <v>11</v>
      </c>
      <c r="H613" s="3" t="s">
        <v>726</v>
      </c>
    </row>
    <row r="614" spans="1:8" ht="13.8" x14ac:dyDescent="0.25">
      <c r="A614" s="3" t="s">
        <v>8</v>
      </c>
      <c r="B614" s="3" t="s">
        <v>918</v>
      </c>
      <c r="C614" s="4" t="str">
        <f>HYPERLINK("http://www.rncp.cncp.gouv.fr/grand-public/visualisationFiche?format=fr&amp;fiche=11581","11581")</f>
        <v>11581</v>
      </c>
      <c r="D614" s="4" t="str">
        <f>HYPERLINK("http://www.intercariforef.org/formations/certification-67759.html","67759")</f>
        <v>67759</v>
      </c>
      <c r="E614" s="5">
        <v>11087</v>
      </c>
      <c r="F614" s="5" t="s">
        <v>10</v>
      </c>
      <c r="G614" s="5" t="s">
        <v>11</v>
      </c>
      <c r="H614" s="3" t="s">
        <v>758</v>
      </c>
    </row>
    <row r="615" spans="1:8" ht="13.8" x14ac:dyDescent="0.25">
      <c r="A615" s="3" t="s">
        <v>8</v>
      </c>
      <c r="B615" s="3" t="s">
        <v>918</v>
      </c>
      <c r="C615" s="4" t="str">
        <f>HYPERLINK("http://www.rncp.cncp.gouv.fr/grand-public/visualisationFiche?format=fr&amp;fiche=7298","7298")</f>
        <v>7298</v>
      </c>
      <c r="D615" s="4" t="str">
        <f>HYPERLINK("http://www.intercariforef.org/formations/certification-67758.html","67758")</f>
        <v>67758</v>
      </c>
      <c r="E615" s="5">
        <v>11318</v>
      </c>
      <c r="F615" s="5" t="s">
        <v>10</v>
      </c>
      <c r="G615" s="5" t="s">
        <v>11</v>
      </c>
      <c r="H615" s="3" t="s">
        <v>919</v>
      </c>
    </row>
    <row r="616" spans="1:8" ht="27.6" x14ac:dyDescent="0.25">
      <c r="A616" s="3" t="s">
        <v>8</v>
      </c>
      <c r="B616" s="3" t="s">
        <v>920</v>
      </c>
      <c r="C616" s="4" t="str">
        <f>HYPERLINK("http://www.rncp.cncp.gouv.fr/grand-public/visualisationFiche?format=fr&amp;fiche=11582","11582")</f>
        <v>11582</v>
      </c>
      <c r="D616" s="4" t="str">
        <f>HYPERLINK("http://www.intercariforef.org/formations/certification-11955.html","11955")</f>
        <v>11955</v>
      </c>
      <c r="E616" s="5">
        <v>11088</v>
      </c>
      <c r="F616" s="5" t="s">
        <v>10</v>
      </c>
      <c r="G616" s="5" t="s">
        <v>11</v>
      </c>
      <c r="H616" s="3" t="s">
        <v>758</v>
      </c>
    </row>
    <row r="617" spans="1:8" ht="27.6" x14ac:dyDescent="0.25">
      <c r="A617" s="3" t="s">
        <v>8</v>
      </c>
      <c r="B617" s="3" t="s">
        <v>921</v>
      </c>
      <c r="C617" s="4" t="str">
        <f>HYPERLINK("http://www.rncp.cncp.gouv.fr/grand-public/visualisationFiche?format=fr&amp;fiche=11455","11455")</f>
        <v>11455</v>
      </c>
      <c r="D617" s="4" t="str">
        <f>HYPERLINK("http://www.intercariforef.org/formations/certification-11957.html","11957")</f>
        <v>11957</v>
      </c>
      <c r="E617" s="5">
        <v>11370</v>
      </c>
      <c r="F617" s="5" t="s">
        <v>10</v>
      </c>
      <c r="G617" s="5" t="s">
        <v>11</v>
      </c>
      <c r="H617" s="3" t="s">
        <v>758</v>
      </c>
    </row>
    <row r="618" spans="1:8" ht="27.6" x14ac:dyDescent="0.25">
      <c r="A618" s="3" t="s">
        <v>8</v>
      </c>
      <c r="B618" s="3" t="s">
        <v>922</v>
      </c>
      <c r="C618" s="4" t="str">
        <f>HYPERLINK("http://www.rncp.cncp.gouv.fr/grand-public/visualisationFiche?format=fr&amp;fiche=11583","11583")</f>
        <v>11583</v>
      </c>
      <c r="D618" s="4" t="str">
        <f>HYPERLINK("http://www.intercariforef.org/formations/certification-11958.html","11958")</f>
        <v>11958</v>
      </c>
      <c r="E618" s="5">
        <v>11094</v>
      </c>
      <c r="F618" s="5" t="s">
        <v>10</v>
      </c>
      <c r="G618" s="5" t="s">
        <v>11</v>
      </c>
      <c r="H618" s="3" t="s">
        <v>758</v>
      </c>
    </row>
    <row r="619" spans="1:8" ht="27.6" x14ac:dyDescent="0.25">
      <c r="A619" s="3" t="s">
        <v>8</v>
      </c>
      <c r="B619" s="3" t="s">
        <v>923</v>
      </c>
      <c r="C619" s="4" t="str">
        <f>HYPERLINK("http://www.rncp.cncp.gouv.fr/grand-public/visualisationFiche?format=fr&amp;fiche=12568","12568")</f>
        <v>12568</v>
      </c>
      <c r="D619" s="4" t="str">
        <f>HYPERLINK("http://www.intercariforef.org/formations/certification-65234.html","65234")</f>
        <v>65234</v>
      </c>
      <c r="E619" s="5">
        <v>10071</v>
      </c>
      <c r="F619" s="5" t="s">
        <v>10</v>
      </c>
      <c r="G619" s="5" t="s">
        <v>11</v>
      </c>
      <c r="H619" s="3" t="s">
        <v>742</v>
      </c>
    </row>
    <row r="620" spans="1:8" ht="27.6" x14ac:dyDescent="0.25">
      <c r="A620" s="3" t="s">
        <v>8</v>
      </c>
      <c r="B620" s="3" t="s">
        <v>924</v>
      </c>
      <c r="C620" s="4" t="str">
        <f>HYPERLINK("http://www.rncp.cncp.gouv.fr/grand-public/visualisationFiche?format=fr&amp;fiche=17135","17135")</f>
        <v>17135</v>
      </c>
      <c r="D620" s="4" t="str">
        <f>HYPERLINK("http://www.intercariforef.org/formations/certification-61280.html","61280")</f>
        <v>61280</v>
      </c>
      <c r="E620" s="5">
        <v>11268</v>
      </c>
      <c r="F620" s="5" t="s">
        <v>10</v>
      </c>
      <c r="G620" s="5" t="s">
        <v>11</v>
      </c>
      <c r="H620" s="3" t="s">
        <v>785</v>
      </c>
    </row>
    <row r="621" spans="1:8" ht="27.6" x14ac:dyDescent="0.25">
      <c r="A621" s="3" t="s">
        <v>8</v>
      </c>
      <c r="B621" s="3" t="s">
        <v>925</v>
      </c>
      <c r="C621" s="4" t="str">
        <f>HYPERLINK("http://www.rncp.cncp.gouv.fr/grand-public/visualisationFiche?format=fr&amp;fiche=13691","13691")</f>
        <v>13691</v>
      </c>
      <c r="D621" s="4" t="str">
        <f>HYPERLINK("http://www.intercariforef.org/formations/certification-57049.html","57049")</f>
        <v>57049</v>
      </c>
      <c r="E621" s="5">
        <v>11137</v>
      </c>
      <c r="F621" s="5" t="s">
        <v>10</v>
      </c>
      <c r="G621" s="5" t="s">
        <v>11</v>
      </c>
      <c r="H621" s="3" t="s">
        <v>514</v>
      </c>
    </row>
    <row r="622" spans="1:8" ht="27.6" x14ac:dyDescent="0.25">
      <c r="A622" s="3" t="s">
        <v>8</v>
      </c>
      <c r="B622" s="3" t="s">
        <v>926</v>
      </c>
      <c r="C622" s="4" t="str">
        <f>HYPERLINK("http://www.rncp.cncp.gouv.fr/grand-public/visualisationFiche?format=fr&amp;fiche=15988","15988")</f>
        <v>15988</v>
      </c>
      <c r="D622" s="4" t="str">
        <f>HYPERLINK("http://www.intercariforef.org/formations/certification-72038.html","72038")</f>
        <v>72038</v>
      </c>
      <c r="E622" s="5">
        <v>131819</v>
      </c>
      <c r="F622" s="5" t="s">
        <v>10</v>
      </c>
      <c r="G622" s="5" t="s">
        <v>11</v>
      </c>
      <c r="H622" s="3" t="s">
        <v>726</v>
      </c>
    </row>
    <row r="623" spans="1:8" ht="27.6" x14ac:dyDescent="0.25">
      <c r="A623" s="3" t="s">
        <v>8</v>
      </c>
      <c r="B623" s="3" t="s">
        <v>927</v>
      </c>
      <c r="C623" s="4" t="str">
        <f>HYPERLINK("http://www.rncp.cncp.gouv.fr/grand-public/visualisationFiche?format=fr&amp;fiche=10667","10667")</f>
        <v>10667</v>
      </c>
      <c r="D623" s="4" t="str">
        <f>HYPERLINK("http://www.intercariforef.org/formations/certification-78162.html","78162")</f>
        <v>78162</v>
      </c>
      <c r="E623" s="5">
        <v>145525</v>
      </c>
      <c r="F623" s="5" t="s">
        <v>10</v>
      </c>
      <c r="G623" s="5" t="s">
        <v>11</v>
      </c>
      <c r="H623" s="3" t="s">
        <v>763</v>
      </c>
    </row>
    <row r="624" spans="1:8" ht="27.6" x14ac:dyDescent="0.25">
      <c r="A624" s="3" t="s">
        <v>8</v>
      </c>
      <c r="B624" s="3" t="s">
        <v>928</v>
      </c>
      <c r="C624" s="4" t="str">
        <f>HYPERLINK("http://www.rncp.cncp.gouv.fr/grand-public/visualisationFiche?format=fr&amp;fiche=10601","10601")</f>
        <v>10601</v>
      </c>
      <c r="D624" s="4" t="str">
        <f>HYPERLINK("http://www.intercariforef.org/formations/certification-78600.html","78600")</f>
        <v>78600</v>
      </c>
      <c r="E624" s="5">
        <v>10395</v>
      </c>
      <c r="F624" s="5" t="s">
        <v>10</v>
      </c>
      <c r="G624" s="5" t="s">
        <v>11</v>
      </c>
      <c r="H624" s="3" t="s">
        <v>905</v>
      </c>
    </row>
    <row r="625" spans="1:8" ht="27.6" x14ac:dyDescent="0.25">
      <c r="A625" s="3" t="s">
        <v>8</v>
      </c>
      <c r="B625" s="3" t="s">
        <v>929</v>
      </c>
      <c r="C625" s="5"/>
      <c r="D625" s="4" t="str">
        <f>HYPERLINK("http://www.intercariforef.org/formations/certification-69236.html","69236")</f>
        <v>69236</v>
      </c>
      <c r="E625" s="5">
        <v>11413</v>
      </c>
      <c r="F625" s="5" t="s">
        <v>10</v>
      </c>
      <c r="G625" s="5" t="s">
        <v>11</v>
      </c>
      <c r="H625" s="3" t="s">
        <v>516</v>
      </c>
    </row>
    <row r="626" spans="1:8" ht="27.6" x14ac:dyDescent="0.25">
      <c r="A626" s="3" t="s">
        <v>8</v>
      </c>
      <c r="B626" s="3" t="s">
        <v>929</v>
      </c>
      <c r="C626" s="4" t="str">
        <f>HYPERLINK("http://www.rncp.cncp.gouv.fr/grand-public/visualisationFiche?format=fr&amp;fiche=19716","19716")</f>
        <v>19716</v>
      </c>
      <c r="D626" s="4" t="str">
        <f>HYPERLINK("http://www.intercariforef.org/formations/certification-82356.html","82356")</f>
        <v>82356</v>
      </c>
      <c r="E626" s="5">
        <v>11414</v>
      </c>
      <c r="F626" s="5" t="s">
        <v>10</v>
      </c>
      <c r="G626" s="5" t="s">
        <v>11</v>
      </c>
      <c r="H626" s="3" t="s">
        <v>731</v>
      </c>
    </row>
    <row r="627" spans="1:8" ht="27.6" x14ac:dyDescent="0.25">
      <c r="A627" s="3" t="s">
        <v>8</v>
      </c>
      <c r="B627" s="3" t="s">
        <v>930</v>
      </c>
      <c r="C627" s="5"/>
      <c r="D627" s="4" t="str">
        <f>HYPERLINK("http://www.intercariforef.org/formations/certification-67890.html","67890")</f>
        <v>67890</v>
      </c>
      <c r="E627" s="5">
        <v>10394</v>
      </c>
      <c r="F627" s="5" t="s">
        <v>10</v>
      </c>
      <c r="G627" s="5" t="s">
        <v>11</v>
      </c>
      <c r="H627" s="3" t="s">
        <v>905</v>
      </c>
    </row>
    <row r="628" spans="1:8" ht="27.6" x14ac:dyDescent="0.25">
      <c r="A628" s="3" t="s">
        <v>8</v>
      </c>
      <c r="B628" s="3" t="s">
        <v>931</v>
      </c>
      <c r="C628" s="4" t="str">
        <f>HYPERLINK("http://www.rncp.cncp.gouv.fr/grand-public/visualisationFiche?format=fr&amp;fiche=9896","9896")</f>
        <v>9896</v>
      </c>
      <c r="D628" s="4" t="str">
        <f>HYPERLINK("http://www.intercariforef.org/formations/certification-67901.html","67901")</f>
        <v>67901</v>
      </c>
      <c r="E628" s="5">
        <v>10396</v>
      </c>
      <c r="F628" s="5" t="s">
        <v>10</v>
      </c>
      <c r="G628" s="5" t="s">
        <v>11</v>
      </c>
      <c r="H628" s="3" t="s">
        <v>905</v>
      </c>
    </row>
    <row r="629" spans="1:8" ht="27.6" x14ac:dyDescent="0.25">
      <c r="A629" s="3" t="s">
        <v>8</v>
      </c>
      <c r="B629" s="3" t="s">
        <v>932</v>
      </c>
      <c r="C629" s="4" t="str">
        <f>HYPERLINK("http://www.rncp.cncp.gouv.fr/grand-public/visualisationFiche?format=fr&amp;fiche=9526","9526")</f>
        <v>9526</v>
      </c>
      <c r="D629" s="4" t="str">
        <f>HYPERLINK("http://www.intercariforef.org/formations/certification-76539.html","76539")</f>
        <v>76539</v>
      </c>
      <c r="E629" s="5">
        <v>10429</v>
      </c>
      <c r="F629" s="5" t="s">
        <v>10</v>
      </c>
      <c r="G629" s="5" t="s">
        <v>11</v>
      </c>
      <c r="H629" s="3" t="s">
        <v>739</v>
      </c>
    </row>
    <row r="630" spans="1:8" ht="27.6" x14ac:dyDescent="0.25">
      <c r="A630" s="3" t="s">
        <v>8</v>
      </c>
      <c r="B630" s="3" t="s">
        <v>933</v>
      </c>
      <c r="C630" s="4" t="str">
        <f>HYPERLINK("http://www.rncp.cncp.gouv.fr/grand-public/visualisationFiche?format=fr&amp;fiche=11826","11826")</f>
        <v>11826</v>
      </c>
      <c r="D630" s="4" t="str">
        <f>HYPERLINK("http://www.intercariforef.org/formations/certification-74556.html","74556")</f>
        <v>74556</v>
      </c>
      <c r="E630" s="5">
        <v>131770</v>
      </c>
      <c r="F630" s="5" t="s">
        <v>10</v>
      </c>
      <c r="G630" s="5" t="s">
        <v>11</v>
      </c>
      <c r="H630" s="3" t="s">
        <v>934</v>
      </c>
    </row>
    <row r="631" spans="1:8" ht="27.6" x14ac:dyDescent="0.25">
      <c r="A631" s="3" t="s">
        <v>8</v>
      </c>
      <c r="B631" s="3" t="s">
        <v>935</v>
      </c>
      <c r="C631" s="5"/>
      <c r="D631" s="4" t="str">
        <f>HYPERLINK("http://www.intercariforef.org/formations/certification-77840.html","77840")</f>
        <v>77840</v>
      </c>
      <c r="E631" s="5">
        <v>131844</v>
      </c>
      <c r="F631" s="5" t="s">
        <v>10</v>
      </c>
      <c r="G631" s="5" t="s">
        <v>11</v>
      </c>
      <c r="H631" s="3" t="s">
        <v>543</v>
      </c>
    </row>
    <row r="632" spans="1:8" ht="27.6" x14ac:dyDescent="0.25">
      <c r="A632" s="3" t="s">
        <v>8</v>
      </c>
      <c r="B632" s="3" t="s">
        <v>936</v>
      </c>
      <c r="C632" s="4" t="str">
        <f>HYPERLINK("http://www.rncp.cncp.gouv.fr/grand-public/visualisationFiche?format=fr&amp;fiche=11334","11334")</f>
        <v>11334</v>
      </c>
      <c r="D632" s="4" t="str">
        <f>HYPERLINK("http://www.intercariforef.org/formations/certification-60661.html","60661")</f>
        <v>60661</v>
      </c>
      <c r="E632" s="5">
        <v>11054</v>
      </c>
      <c r="F632" s="5" t="s">
        <v>10</v>
      </c>
      <c r="G632" s="5" t="s">
        <v>11</v>
      </c>
      <c r="H632" s="3" t="s">
        <v>758</v>
      </c>
    </row>
    <row r="633" spans="1:8" ht="27.6" x14ac:dyDescent="0.25">
      <c r="A633" s="3" t="s">
        <v>8</v>
      </c>
      <c r="B633" s="3" t="s">
        <v>937</v>
      </c>
      <c r="C633" s="4" t="str">
        <f>HYPERLINK("http://www.rncp.cncp.gouv.fr/grand-public/visualisationFiche?format=fr&amp;fiche=20599","20599")</f>
        <v>20599</v>
      </c>
      <c r="D633" s="4" t="str">
        <f>HYPERLINK("http://www.intercariforef.org/formations/certification-62542.html","62542")</f>
        <v>62542</v>
      </c>
      <c r="E633" s="5">
        <v>162790</v>
      </c>
      <c r="F633" s="5" t="s">
        <v>721</v>
      </c>
      <c r="G633" s="5" t="s">
        <v>11</v>
      </c>
      <c r="H633" s="3" t="s">
        <v>786</v>
      </c>
    </row>
    <row r="634" spans="1:8" ht="27.6" x14ac:dyDescent="0.25">
      <c r="A634" s="3" t="s">
        <v>8</v>
      </c>
      <c r="B634" s="3" t="s">
        <v>938</v>
      </c>
      <c r="C634" s="4" t="str">
        <f>HYPERLINK("http://www.rncp.cncp.gouv.fr/grand-public/visualisationFiche?format=fr&amp;fiche=9967","9967")</f>
        <v>9967</v>
      </c>
      <c r="D634" s="4" t="str">
        <f>HYPERLINK("http://www.intercariforef.org/formations/certification-65696.html","65696")</f>
        <v>65696</v>
      </c>
      <c r="E634" s="5">
        <v>11142</v>
      </c>
      <c r="F634" s="5" t="s">
        <v>10</v>
      </c>
      <c r="G634" s="5" t="s">
        <v>11</v>
      </c>
      <c r="H634" s="3" t="s">
        <v>538</v>
      </c>
    </row>
    <row r="635" spans="1:8" ht="27.6" x14ac:dyDescent="0.25">
      <c r="A635" s="3" t="s">
        <v>8</v>
      </c>
      <c r="B635" s="3" t="s">
        <v>939</v>
      </c>
      <c r="C635" s="4" t="str">
        <f>HYPERLINK("http://www.rncp.cncp.gouv.fr/grand-public/visualisationFiche?format=fr&amp;fiche=13325","13325")</f>
        <v>13325</v>
      </c>
      <c r="D635" s="4" t="str">
        <f>HYPERLINK("http://www.intercariforef.org/formations/certification-11277.html","11277")</f>
        <v>11277</v>
      </c>
      <c r="E635" s="5">
        <v>10430</v>
      </c>
      <c r="F635" s="5" t="s">
        <v>10</v>
      </c>
      <c r="G635" s="5" t="s">
        <v>11</v>
      </c>
      <c r="H635" s="3" t="s">
        <v>746</v>
      </c>
    </row>
    <row r="636" spans="1:8" ht="27.6" x14ac:dyDescent="0.25">
      <c r="A636" s="3" t="s">
        <v>8</v>
      </c>
      <c r="B636" s="3" t="s">
        <v>940</v>
      </c>
      <c r="C636" s="4" t="str">
        <f>HYPERLINK("http://www.rncp.cncp.gouv.fr/grand-public/visualisationFiche?format=fr&amp;fiche=12194","12194")</f>
        <v>12194</v>
      </c>
      <c r="D636" s="4" t="str">
        <f>HYPERLINK("http://www.intercariforef.org/formations/certification-52318.html","52318")</f>
        <v>52318</v>
      </c>
      <c r="E636" s="5">
        <v>10301</v>
      </c>
      <c r="F636" s="5" t="s">
        <v>10</v>
      </c>
      <c r="G636" s="5" t="s">
        <v>11</v>
      </c>
      <c r="H636" s="3" t="s">
        <v>746</v>
      </c>
    </row>
    <row r="637" spans="1:8" ht="27.6" x14ac:dyDescent="0.25">
      <c r="A637" s="3" t="s">
        <v>8</v>
      </c>
      <c r="B637" s="3" t="s">
        <v>941</v>
      </c>
      <c r="C637" s="4" t="str">
        <f>HYPERLINK("http://www.rncp.cncp.gouv.fr/grand-public/visualisationFiche?format=fr&amp;fiche=17059","17059")</f>
        <v>17059</v>
      </c>
      <c r="D637" s="4" t="str">
        <f>HYPERLINK("http://www.intercariforef.org/formations/certification-26754.html","26754")</f>
        <v>26754</v>
      </c>
      <c r="E637" s="5">
        <v>131845</v>
      </c>
      <c r="F637" s="5" t="s">
        <v>10</v>
      </c>
      <c r="G637" s="5" t="s">
        <v>11</v>
      </c>
      <c r="H637" s="3" t="s">
        <v>783</v>
      </c>
    </row>
    <row r="638" spans="1:8" ht="27.6" x14ac:dyDescent="0.25">
      <c r="A638" s="3" t="s">
        <v>8</v>
      </c>
      <c r="B638" s="3" t="s">
        <v>942</v>
      </c>
      <c r="C638" s="4" t="str">
        <f>HYPERLINK("http://www.rncp.cncp.gouv.fr/grand-public/visualisationFiche?format=fr&amp;fiche=7282","7282")</f>
        <v>7282</v>
      </c>
      <c r="D638" s="4" t="str">
        <f>HYPERLINK("http://www.intercariforef.org/formations/certification-57356.html","57356")</f>
        <v>57356</v>
      </c>
      <c r="E638" s="5">
        <v>11338</v>
      </c>
      <c r="F638" s="5" t="s">
        <v>10</v>
      </c>
      <c r="G638" s="5" t="s">
        <v>11</v>
      </c>
      <c r="H638" s="3" t="s">
        <v>899</v>
      </c>
    </row>
    <row r="639" spans="1:8" ht="27.6" x14ac:dyDescent="0.25">
      <c r="A639" s="3" t="s">
        <v>8</v>
      </c>
      <c r="B639" s="3" t="s">
        <v>943</v>
      </c>
      <c r="C639" s="4" t="str">
        <f>HYPERLINK("http://www.rncp.cncp.gouv.fr/grand-public/visualisationFiche?format=fr&amp;fiche=11340","11340")</f>
        <v>11340</v>
      </c>
      <c r="D639" s="4" t="str">
        <f>HYPERLINK("http://www.intercariforef.org/formations/certification-60556.html","60556")</f>
        <v>60556</v>
      </c>
      <c r="E639" s="5">
        <v>10431</v>
      </c>
      <c r="F639" s="5" t="s">
        <v>10</v>
      </c>
      <c r="G639" s="5" t="s">
        <v>11</v>
      </c>
      <c r="H639" s="3" t="s">
        <v>758</v>
      </c>
    </row>
    <row r="640" spans="1:8" ht="27.6" x14ac:dyDescent="0.25">
      <c r="A640" s="3" t="s">
        <v>8</v>
      </c>
      <c r="B640" s="3" t="s">
        <v>944</v>
      </c>
      <c r="C640" s="4" t="str">
        <f>HYPERLINK("http://www.rncp.cncp.gouv.fr/grand-public/visualisationFiche?format=fr&amp;fiche=6214","6214")</f>
        <v>6214</v>
      </c>
      <c r="D640" s="4" t="str">
        <f>HYPERLINK("http://www.intercariforef.org/formations/certification-67097.html","67097")</f>
        <v>67097</v>
      </c>
      <c r="E640" s="5">
        <v>10290</v>
      </c>
      <c r="F640" s="5" t="s">
        <v>10</v>
      </c>
      <c r="G640" s="5" t="s">
        <v>11</v>
      </c>
      <c r="H640" s="3" t="s">
        <v>776</v>
      </c>
    </row>
    <row r="641" spans="1:8" ht="27.6" x14ac:dyDescent="0.25">
      <c r="A641" s="3" t="s">
        <v>8</v>
      </c>
      <c r="B641" s="3" t="s">
        <v>945</v>
      </c>
      <c r="C641" s="4" t="str">
        <f>HYPERLINK("http://www.rncp.cncp.gouv.fr/grand-public/visualisationFiche?format=fr&amp;fiche=6213","6213")</f>
        <v>6213</v>
      </c>
      <c r="D641" s="4" t="str">
        <f>HYPERLINK("http://www.intercariforef.org/formations/certification-67101.html","67101")</f>
        <v>67101</v>
      </c>
      <c r="E641" s="5">
        <v>10293</v>
      </c>
      <c r="F641" s="5" t="s">
        <v>10</v>
      </c>
      <c r="G641" s="5" t="s">
        <v>11</v>
      </c>
      <c r="H641" s="3" t="s">
        <v>776</v>
      </c>
    </row>
    <row r="642" spans="1:8" ht="27.6" x14ac:dyDescent="0.25">
      <c r="A642" s="3" t="s">
        <v>8</v>
      </c>
      <c r="B642" s="3" t="s">
        <v>946</v>
      </c>
      <c r="C642" s="4" t="str">
        <f>HYPERLINK("http://www.rncp.cncp.gouv.fr/grand-public/visualisationFiche?format=fr&amp;fiche=6215","6215")</f>
        <v>6215</v>
      </c>
      <c r="D642" s="4" t="str">
        <f>HYPERLINK("http://www.intercariforef.org/formations/certification-67104.html","67104")</f>
        <v>67104</v>
      </c>
      <c r="E642" s="5">
        <v>10296</v>
      </c>
      <c r="F642" s="5" t="s">
        <v>10</v>
      </c>
      <c r="G642" s="5" t="s">
        <v>11</v>
      </c>
      <c r="H642" s="3" t="s">
        <v>776</v>
      </c>
    </row>
    <row r="643" spans="1:8" ht="27.6" x14ac:dyDescent="0.25">
      <c r="A643" s="3" t="s">
        <v>8</v>
      </c>
      <c r="B643" s="3" t="s">
        <v>947</v>
      </c>
      <c r="C643" s="4" t="str">
        <f>HYPERLINK("http://www.rncp.cncp.gouv.fr/grand-public/visualisationFiche?format=fr&amp;fiche=22678","22678")</f>
        <v>22678</v>
      </c>
      <c r="D643" s="4" t="str">
        <f>HYPERLINK("http://www.intercariforef.org/formations/certification-65750.html","65750")</f>
        <v>65750</v>
      </c>
      <c r="E643" s="5">
        <v>11275</v>
      </c>
      <c r="F643" s="5" t="s">
        <v>10</v>
      </c>
      <c r="G643" s="5" t="s">
        <v>11</v>
      </c>
      <c r="H643" s="3" t="s">
        <v>731</v>
      </c>
    </row>
    <row r="644" spans="1:8" ht="41.4" x14ac:dyDescent="0.25">
      <c r="A644" s="3" t="s">
        <v>8</v>
      </c>
      <c r="B644" s="3" t="s">
        <v>948</v>
      </c>
      <c r="C644" s="4" t="str">
        <f>HYPERLINK("http://www.rncp.cncp.gouv.fr/grand-public/visualisationFiche?format=fr&amp;fiche=8838","8838")</f>
        <v>8838</v>
      </c>
      <c r="D644" s="4" t="str">
        <f>HYPERLINK("http://www.intercariforef.org/formations/certification-44543.html","44543")</f>
        <v>44543</v>
      </c>
      <c r="E644" s="5">
        <v>11373</v>
      </c>
      <c r="F644" s="5" t="s">
        <v>10</v>
      </c>
      <c r="G644" s="5" t="s">
        <v>11</v>
      </c>
      <c r="H644" s="3" t="s">
        <v>731</v>
      </c>
    </row>
    <row r="645" spans="1:8" ht="27.6" x14ac:dyDescent="0.25">
      <c r="A645" s="3" t="s">
        <v>8</v>
      </c>
      <c r="B645" s="3" t="s">
        <v>949</v>
      </c>
      <c r="C645" s="4" t="str">
        <f>HYPERLINK("http://www.rncp.cncp.gouv.fr/grand-public/visualisationFiche?format=fr&amp;fiche=22824","22824")</f>
        <v>22824</v>
      </c>
      <c r="D645" s="4" t="str">
        <f>HYPERLINK("http://www.intercariforef.org/formations/certification-62378.html","62378")</f>
        <v>62378</v>
      </c>
      <c r="E645" s="5">
        <v>10091</v>
      </c>
      <c r="F645" s="5" t="s">
        <v>10</v>
      </c>
      <c r="G645" s="5" t="s">
        <v>11</v>
      </c>
      <c r="H645" s="3" t="s">
        <v>739</v>
      </c>
    </row>
    <row r="646" spans="1:8" ht="27.6" x14ac:dyDescent="0.25">
      <c r="A646" s="3" t="s">
        <v>8</v>
      </c>
      <c r="B646" s="3" t="s">
        <v>950</v>
      </c>
      <c r="C646" s="4" t="str">
        <f>HYPERLINK("http://www.rncp.cncp.gouv.fr/grand-public/visualisationFiche?format=fr&amp;fiche=7148","7148")</f>
        <v>7148</v>
      </c>
      <c r="D646" s="4" t="str">
        <f>HYPERLINK("http://www.intercariforef.org/formations/certification-62391.html","62391")</f>
        <v>62391</v>
      </c>
      <c r="E646" s="5">
        <v>10104</v>
      </c>
      <c r="F646" s="5" t="s">
        <v>10</v>
      </c>
      <c r="G646" s="5" t="s">
        <v>11</v>
      </c>
      <c r="H646" s="3" t="s">
        <v>739</v>
      </c>
    </row>
    <row r="647" spans="1:8" ht="27.6" x14ac:dyDescent="0.25">
      <c r="A647" s="3" t="s">
        <v>8</v>
      </c>
      <c r="B647" s="3" t="s">
        <v>951</v>
      </c>
      <c r="C647" s="5"/>
      <c r="D647" s="4" t="str">
        <f>HYPERLINK("http://www.intercariforef.org/formations/certification-78150.html","78150")</f>
        <v>78150</v>
      </c>
      <c r="E647" s="5">
        <v>11091</v>
      </c>
      <c r="F647" s="5" t="s">
        <v>10</v>
      </c>
      <c r="G647" s="5" t="s">
        <v>11</v>
      </c>
      <c r="H647" s="3" t="s">
        <v>758</v>
      </c>
    </row>
    <row r="648" spans="1:8" ht="27.6" x14ac:dyDescent="0.25">
      <c r="A648" s="3" t="s">
        <v>8</v>
      </c>
      <c r="B648" s="3" t="s">
        <v>952</v>
      </c>
      <c r="C648" s="4" t="str">
        <f>HYPERLINK("http://www.rncp.cncp.gouv.fr/grand-public/visualisationFiche?format=fr&amp;fiche=8856","8856")</f>
        <v>8856</v>
      </c>
      <c r="D648" s="4" t="str">
        <f>HYPERLINK("http://www.intercariforef.org/formations/certification-65706.html","65706")</f>
        <v>65706</v>
      </c>
      <c r="E648" s="5">
        <v>11272</v>
      </c>
      <c r="F648" s="5" t="s">
        <v>10</v>
      </c>
      <c r="G648" s="5" t="s">
        <v>11</v>
      </c>
      <c r="H648" s="3" t="s">
        <v>731</v>
      </c>
    </row>
    <row r="649" spans="1:8" ht="27.6" x14ac:dyDescent="0.25">
      <c r="A649" s="3" t="s">
        <v>8</v>
      </c>
      <c r="B649" s="3" t="s">
        <v>953</v>
      </c>
      <c r="C649" s="4" t="str">
        <f>HYPERLINK("http://www.rncp.cncp.gouv.fr/grand-public/visualisationFiche?format=fr&amp;fiche=6675","6675")</f>
        <v>6675</v>
      </c>
      <c r="D649" s="4" t="str">
        <f>HYPERLINK("http://www.intercariforef.org/formations/certification-76126.html","76126")</f>
        <v>76126</v>
      </c>
      <c r="E649" s="5">
        <v>11123</v>
      </c>
      <c r="F649" s="5" t="s">
        <v>10</v>
      </c>
      <c r="G649" s="5" t="s">
        <v>11</v>
      </c>
      <c r="H649" s="3" t="s">
        <v>954</v>
      </c>
    </row>
    <row r="650" spans="1:8" ht="27.6" x14ac:dyDescent="0.25">
      <c r="A650" s="3" t="s">
        <v>8</v>
      </c>
      <c r="B650" s="3" t="s">
        <v>955</v>
      </c>
      <c r="C650" s="5"/>
      <c r="D650" s="4" t="str">
        <f>HYPERLINK("http://www.intercariforef.org/formations/certification-78145.html","78145")</f>
        <v>78145</v>
      </c>
      <c r="E650" s="5">
        <v>10432</v>
      </c>
      <c r="F650" s="5" t="s">
        <v>10</v>
      </c>
      <c r="G650" s="5" t="s">
        <v>11</v>
      </c>
      <c r="H650" s="3" t="s">
        <v>956</v>
      </c>
    </row>
    <row r="651" spans="1:8" ht="27.6" x14ac:dyDescent="0.25">
      <c r="A651" s="3" t="s">
        <v>8</v>
      </c>
      <c r="B651" s="3" t="s">
        <v>955</v>
      </c>
      <c r="C651" s="5"/>
      <c r="D651" s="4" t="str">
        <f>HYPERLINK("http://www.intercariforef.org/formations/certification-77833.html","77833")</f>
        <v>77833</v>
      </c>
      <c r="E651" s="5">
        <v>11335</v>
      </c>
      <c r="F651" s="5" t="s">
        <v>10</v>
      </c>
      <c r="G651" s="5" t="s">
        <v>11</v>
      </c>
      <c r="H651" s="3" t="s">
        <v>444</v>
      </c>
    </row>
    <row r="652" spans="1:8" ht="13.8" x14ac:dyDescent="0.25">
      <c r="A652" s="3" t="s">
        <v>8</v>
      </c>
      <c r="B652" s="3" t="s">
        <v>957</v>
      </c>
      <c r="C652" s="4" t="str">
        <f>HYPERLINK("http://www.rncp.cncp.gouv.fr/grand-public/visualisationFiche?format=fr&amp;fiche=11804","11804")</f>
        <v>11804</v>
      </c>
      <c r="D652" s="4" t="str">
        <f>HYPERLINK("http://www.intercariforef.org/formations/certification-81846.html","81846")</f>
        <v>81846</v>
      </c>
      <c r="E652" s="5">
        <v>10155</v>
      </c>
      <c r="F652" s="5" t="s">
        <v>10</v>
      </c>
      <c r="G652" s="5" t="s">
        <v>11</v>
      </c>
      <c r="H652" s="3" t="s">
        <v>737</v>
      </c>
    </row>
    <row r="653" spans="1:8" ht="27.6" x14ac:dyDescent="0.25">
      <c r="A653" s="3" t="s">
        <v>8</v>
      </c>
      <c r="B653" s="3" t="s">
        <v>958</v>
      </c>
      <c r="C653" s="5"/>
      <c r="D653" s="4" t="str">
        <f>HYPERLINK("http://www.intercariforef.org/formations/certification-72460.html","72460")</f>
        <v>72460</v>
      </c>
      <c r="E653" s="5">
        <v>10949</v>
      </c>
      <c r="F653" s="5" t="s">
        <v>10</v>
      </c>
      <c r="G653" s="5" t="s">
        <v>11</v>
      </c>
      <c r="H653" s="3" t="s">
        <v>538</v>
      </c>
    </row>
    <row r="654" spans="1:8" ht="27.6" x14ac:dyDescent="0.25">
      <c r="A654" s="3" t="s">
        <v>8</v>
      </c>
      <c r="B654" s="3" t="s">
        <v>959</v>
      </c>
      <c r="C654" s="5"/>
      <c r="D654" s="4" t="str">
        <f>HYPERLINK("http://www.intercariforef.org/formations/certification-78177.html","78177")</f>
        <v>78177</v>
      </c>
      <c r="E654" s="5">
        <v>10410</v>
      </c>
      <c r="F654" s="5" t="s">
        <v>10</v>
      </c>
      <c r="G654" s="5" t="s">
        <v>11</v>
      </c>
      <c r="H654" s="3" t="s">
        <v>763</v>
      </c>
    </row>
    <row r="655" spans="1:8" ht="27.6" x14ac:dyDescent="0.25">
      <c r="A655" s="3" t="s">
        <v>8</v>
      </c>
      <c r="B655" s="3" t="s">
        <v>960</v>
      </c>
      <c r="C655" s="4" t="str">
        <f>HYPERLINK("http://www.rncp.cncp.gouv.fr/grand-public/visualisationFiche?format=fr&amp;fiche=5635","5635")</f>
        <v>5635</v>
      </c>
      <c r="D655" s="4" t="str">
        <f>HYPERLINK("http://www.intercariforef.org/formations/certification-12024.html","12024")</f>
        <v>12024</v>
      </c>
      <c r="E655" s="5">
        <v>10832</v>
      </c>
      <c r="F655" s="5" t="s">
        <v>10</v>
      </c>
      <c r="G655" s="5" t="s">
        <v>11</v>
      </c>
      <c r="H655" s="3" t="s">
        <v>813</v>
      </c>
    </row>
    <row r="656" spans="1:8" ht="27.6" x14ac:dyDescent="0.25">
      <c r="A656" s="3" t="s">
        <v>8</v>
      </c>
      <c r="B656" s="3" t="s">
        <v>961</v>
      </c>
      <c r="C656" s="4" t="str">
        <f>HYPERLINK("http://www.rncp.cncp.gouv.fr/grand-public/visualisationFiche?format=fr&amp;fiche=12558","12558")</f>
        <v>12558</v>
      </c>
      <c r="D656" s="4" t="str">
        <f>HYPERLINK("http://www.intercariforef.org/formations/certification-73984.html","73984")</f>
        <v>73984</v>
      </c>
      <c r="E656" s="5">
        <v>10157</v>
      </c>
      <c r="F656" s="5" t="s">
        <v>10</v>
      </c>
      <c r="G656" s="5" t="s">
        <v>11</v>
      </c>
      <c r="H656" s="3" t="s">
        <v>892</v>
      </c>
    </row>
    <row r="657" spans="1:8" ht="27.6" x14ac:dyDescent="0.25">
      <c r="A657" s="3" t="s">
        <v>8</v>
      </c>
      <c r="B657" s="3" t="s">
        <v>962</v>
      </c>
      <c r="C657" s="5"/>
      <c r="D657" s="4" t="str">
        <f>HYPERLINK("http://www.intercariforef.org/formations/certification-75345.html","75345")</f>
        <v>75345</v>
      </c>
      <c r="E657" s="5">
        <v>162791</v>
      </c>
      <c r="F657" s="5" t="s">
        <v>721</v>
      </c>
      <c r="G657" s="5" t="s">
        <v>11</v>
      </c>
      <c r="H657" s="3" t="s">
        <v>963</v>
      </c>
    </row>
    <row r="658" spans="1:8" ht="27.6" x14ac:dyDescent="0.25">
      <c r="A658" s="3" t="s">
        <v>8</v>
      </c>
      <c r="B658" s="3" t="s">
        <v>964</v>
      </c>
      <c r="C658" s="5"/>
      <c r="D658" s="4" t="str">
        <f>HYPERLINK("http://www.intercariforef.org/formations/certification-55457.html","55457")</f>
        <v>55457</v>
      </c>
      <c r="E658" s="5">
        <v>10428</v>
      </c>
      <c r="F658" s="5" t="s">
        <v>10</v>
      </c>
      <c r="G658" s="5" t="s">
        <v>11</v>
      </c>
      <c r="H658" s="3" t="s">
        <v>965</v>
      </c>
    </row>
    <row r="659" spans="1:8" ht="27.6" x14ac:dyDescent="0.25">
      <c r="A659" s="3" t="s">
        <v>8</v>
      </c>
      <c r="B659" s="3" t="s">
        <v>966</v>
      </c>
      <c r="C659" s="4" t="str">
        <f>HYPERLINK("http://www.rncp.cncp.gouv.fr/grand-public/visualisationFiche?format=fr&amp;fiche=9533","9533")</f>
        <v>9533</v>
      </c>
      <c r="D659" s="4" t="str">
        <f>HYPERLINK("http://www.intercariforef.org/formations/certification-61656.html","61656")</f>
        <v>61656</v>
      </c>
      <c r="E659" s="5">
        <v>10085</v>
      </c>
      <c r="F659" s="5" t="s">
        <v>10</v>
      </c>
      <c r="G659" s="5" t="s">
        <v>11</v>
      </c>
      <c r="H659" s="3" t="s">
        <v>739</v>
      </c>
    </row>
    <row r="660" spans="1:8" ht="41.4" x14ac:dyDescent="0.25">
      <c r="A660" s="3" t="s">
        <v>8</v>
      </c>
      <c r="B660" s="3" t="s">
        <v>967</v>
      </c>
      <c r="C660" s="4" t="str">
        <f>HYPERLINK("http://www.rncp.cncp.gouv.fr/grand-public/visualisationFiche?format=fr&amp;fiche=9536","9536")</f>
        <v>9536</v>
      </c>
      <c r="D660" s="4" t="str">
        <f>HYPERLINK("http://www.intercariforef.org/formations/certification-68263.html","68263")</f>
        <v>68263</v>
      </c>
      <c r="E660" s="5">
        <v>10087</v>
      </c>
      <c r="F660" s="5" t="s">
        <v>10</v>
      </c>
      <c r="G660" s="5" t="s">
        <v>11</v>
      </c>
      <c r="H660" s="3" t="s">
        <v>739</v>
      </c>
    </row>
    <row r="661" spans="1:8" ht="27.6" x14ac:dyDescent="0.25">
      <c r="A661" s="3" t="s">
        <v>8</v>
      </c>
      <c r="B661" s="3" t="s">
        <v>968</v>
      </c>
      <c r="C661" s="4" t="str">
        <f>HYPERLINK("http://www.rncp.cncp.gouv.fr/grand-public/visualisationFiche?format=fr&amp;fiche=11332","11332")</f>
        <v>11332</v>
      </c>
      <c r="D661" s="4" t="str">
        <f>HYPERLINK("http://www.intercariforef.org/formations/certification-76832.html","76832")</f>
        <v>76832</v>
      </c>
      <c r="E661" s="5">
        <v>10346</v>
      </c>
      <c r="F661" s="5" t="s">
        <v>10</v>
      </c>
      <c r="G661" s="5" t="s">
        <v>11</v>
      </c>
      <c r="H661" s="3" t="s">
        <v>758</v>
      </c>
    </row>
    <row r="662" spans="1:8" ht="27.6" x14ac:dyDescent="0.25">
      <c r="A662" s="3" t="s">
        <v>8</v>
      </c>
      <c r="B662" s="3" t="s">
        <v>969</v>
      </c>
      <c r="C662" s="4" t="str">
        <f>HYPERLINK("http://www.rncp.cncp.gouv.fr/grand-public/visualisationFiche?format=fr&amp;fiche=10598","10598")</f>
        <v>10598</v>
      </c>
      <c r="D662" s="4" t="str">
        <f>HYPERLINK("http://www.intercariforef.org/formations/certification-11367.html","11367")</f>
        <v>11367</v>
      </c>
      <c r="E662" s="5">
        <v>10835</v>
      </c>
      <c r="F662" s="5" t="s">
        <v>10</v>
      </c>
      <c r="G662" s="5" t="s">
        <v>11</v>
      </c>
      <c r="H662" s="3" t="s">
        <v>905</v>
      </c>
    </row>
    <row r="663" spans="1:8" ht="27.6" x14ac:dyDescent="0.25">
      <c r="A663" s="3" t="s">
        <v>8</v>
      </c>
      <c r="B663" s="3" t="s">
        <v>970</v>
      </c>
      <c r="C663" s="4" t="str">
        <f>HYPERLINK("http://www.rncp.cncp.gouv.fr/grand-public/visualisationFiche?format=fr&amp;fiche=18444","18444")</f>
        <v>18444</v>
      </c>
      <c r="D663" s="4" t="str">
        <f>HYPERLINK("http://www.intercariforef.org/formations/certification-79686.html","79686")</f>
        <v>79686</v>
      </c>
      <c r="E663" s="5">
        <v>10842</v>
      </c>
      <c r="F663" s="5" t="s">
        <v>10</v>
      </c>
      <c r="G663" s="5" t="s">
        <v>11</v>
      </c>
      <c r="H663" s="3" t="s">
        <v>785</v>
      </c>
    </row>
    <row r="664" spans="1:8" ht="27.6" x14ac:dyDescent="0.25">
      <c r="A664" s="3" t="s">
        <v>8</v>
      </c>
      <c r="B664" s="3" t="s">
        <v>971</v>
      </c>
      <c r="C664" s="4" t="str">
        <f>HYPERLINK("http://www.rncp.cncp.gouv.fr/grand-public/visualisationFiche?format=fr&amp;fiche=10065","10065")</f>
        <v>10065</v>
      </c>
      <c r="D664" s="4" t="str">
        <f>HYPERLINK("http://www.intercariforef.org/formations/certification-78094.html","78094")</f>
        <v>78094</v>
      </c>
      <c r="E664" s="5">
        <v>10297</v>
      </c>
      <c r="F664" s="5" t="s">
        <v>10</v>
      </c>
      <c r="G664" s="5" t="s">
        <v>11</v>
      </c>
      <c r="H664" s="3" t="s">
        <v>733</v>
      </c>
    </row>
    <row r="665" spans="1:8" ht="27.6" x14ac:dyDescent="0.25">
      <c r="A665" s="3" t="s">
        <v>8</v>
      </c>
      <c r="B665" s="3" t="s">
        <v>972</v>
      </c>
      <c r="C665" s="4" t="str">
        <f>HYPERLINK("http://www.rncp.cncp.gouv.fr/grand-public/visualisationFiche?format=fr&amp;fiche=10539","10539")</f>
        <v>10539</v>
      </c>
      <c r="D665" s="4" t="str">
        <f>HYPERLINK("http://www.intercariforef.org/formations/certification-28994.html","28994")</f>
        <v>28994</v>
      </c>
      <c r="E665" s="5">
        <v>11143</v>
      </c>
      <c r="F665" s="5" t="s">
        <v>10</v>
      </c>
      <c r="G665" s="5" t="s">
        <v>11</v>
      </c>
      <c r="H665" s="3" t="s">
        <v>763</v>
      </c>
    </row>
    <row r="666" spans="1:8" ht="27.6" x14ac:dyDescent="0.25">
      <c r="A666" s="3" t="s">
        <v>8</v>
      </c>
      <c r="B666" s="3" t="s">
        <v>973</v>
      </c>
      <c r="C666" s="4" t="str">
        <f>HYPERLINK("http://www.rncp.cncp.gouv.fr/grand-public/visualisationFiche?format=fr&amp;fiche=7630","7630")</f>
        <v>7630</v>
      </c>
      <c r="D666" s="4" t="str">
        <f>HYPERLINK("http://www.intercariforef.org/formations/certification-79199.html","79199")</f>
        <v>79199</v>
      </c>
      <c r="E666" s="5">
        <v>10254</v>
      </c>
      <c r="F666" s="5" t="s">
        <v>10</v>
      </c>
      <c r="G666" s="5" t="s">
        <v>11</v>
      </c>
      <c r="H666" s="3" t="s">
        <v>850</v>
      </c>
    </row>
    <row r="667" spans="1:8" ht="27.6" x14ac:dyDescent="0.25">
      <c r="A667" s="3" t="s">
        <v>8</v>
      </c>
      <c r="B667" s="3" t="s">
        <v>974</v>
      </c>
      <c r="C667" s="4" t="str">
        <f>HYPERLINK("http://www.rncp.cncp.gouv.fr/grand-public/visualisationFiche?format=fr&amp;fiche=7629","7629")</f>
        <v>7629</v>
      </c>
      <c r="D667" s="4" t="str">
        <f>HYPERLINK("http://www.intercariforef.org/formations/certification-60883.html","60883")</f>
        <v>60883</v>
      </c>
      <c r="E667" s="5">
        <v>10220</v>
      </c>
      <c r="F667" s="5" t="s">
        <v>10</v>
      </c>
      <c r="G667" s="5" t="s">
        <v>11</v>
      </c>
      <c r="H667" s="3" t="s">
        <v>850</v>
      </c>
    </row>
    <row r="668" spans="1:8" ht="41.4" x14ac:dyDescent="0.25">
      <c r="A668" s="3" t="s">
        <v>8</v>
      </c>
      <c r="B668" s="3" t="s">
        <v>975</v>
      </c>
      <c r="C668" s="4" t="str">
        <f>HYPERLINK("http://www.rncp.cncp.gouv.fr/grand-public/visualisationFiche?format=fr&amp;fiche=19260","19260")</f>
        <v>19260</v>
      </c>
      <c r="D668" s="4" t="str">
        <f>HYPERLINK("http://www.intercariforef.org/formations/certification-82039.html","82039")</f>
        <v>82039</v>
      </c>
      <c r="E668" s="5">
        <v>131769</v>
      </c>
      <c r="F668" s="5" t="s">
        <v>10</v>
      </c>
      <c r="G668" s="5" t="s">
        <v>11</v>
      </c>
      <c r="H668" s="3" t="s">
        <v>731</v>
      </c>
    </row>
    <row r="669" spans="1:8" ht="27.6" x14ac:dyDescent="0.25">
      <c r="A669" s="3" t="s">
        <v>8</v>
      </c>
      <c r="B669" s="3" t="s">
        <v>976</v>
      </c>
      <c r="C669" s="4" t="str">
        <f>HYPERLINK("http://www.rncp.cncp.gouv.fr/grand-public/visualisationFiche?format=fr&amp;fiche=12573","12573")</f>
        <v>12573</v>
      </c>
      <c r="D669" s="4" t="str">
        <f>HYPERLINK("http://www.intercariforef.org/formations/certification-45015.html","45015")</f>
        <v>45015</v>
      </c>
      <c r="E669" s="5">
        <v>10112</v>
      </c>
      <c r="F669" s="5" t="s">
        <v>10</v>
      </c>
      <c r="G669" s="5" t="s">
        <v>11</v>
      </c>
      <c r="H669" s="3" t="s">
        <v>742</v>
      </c>
    </row>
    <row r="670" spans="1:8" ht="27.6" x14ac:dyDescent="0.25">
      <c r="A670" s="3" t="s">
        <v>8</v>
      </c>
      <c r="B670" s="3" t="s">
        <v>977</v>
      </c>
      <c r="C670" s="4" t="str">
        <f>HYPERLINK("http://www.rncp.cncp.gouv.fr/grand-public/visualisationFiche?format=fr&amp;fiche=18443","18443")</f>
        <v>18443</v>
      </c>
      <c r="D670" s="4" t="str">
        <f>HYPERLINK("http://www.intercariforef.org/formations/certification-11802.html","11802")</f>
        <v>11802</v>
      </c>
      <c r="E670" s="5">
        <v>10858</v>
      </c>
      <c r="F670" s="5" t="s">
        <v>10</v>
      </c>
      <c r="G670" s="5" t="s">
        <v>11</v>
      </c>
      <c r="H670" s="3" t="s">
        <v>785</v>
      </c>
    </row>
    <row r="671" spans="1:8" ht="27.6" x14ac:dyDescent="0.25">
      <c r="A671" s="3" t="s">
        <v>8</v>
      </c>
      <c r="B671" s="3" t="s">
        <v>978</v>
      </c>
      <c r="C671" s="4" t="str">
        <f>HYPERLINK("http://www.rncp.cncp.gouv.fr/grand-public/visualisationFiche?format=fr&amp;fiche=11790","11790")</f>
        <v>11790</v>
      </c>
      <c r="D671" s="4" t="str">
        <f>HYPERLINK("http://www.intercariforef.org/formations/certification-69060.html","69060")</f>
        <v>69060</v>
      </c>
      <c r="E671" s="5">
        <v>10164</v>
      </c>
      <c r="F671" s="5" t="s">
        <v>10</v>
      </c>
      <c r="G671" s="5" t="s">
        <v>11</v>
      </c>
      <c r="H671" s="3" t="s">
        <v>737</v>
      </c>
    </row>
    <row r="672" spans="1:8" ht="27.6" x14ac:dyDescent="0.25">
      <c r="A672" s="3" t="s">
        <v>8</v>
      </c>
      <c r="B672" s="3" t="s">
        <v>979</v>
      </c>
      <c r="C672" s="4" t="str">
        <f>HYPERLINK("http://www.rncp.cncp.gouv.fr/grand-public/visualisationFiche?format=fr&amp;fiche=17136","17136")</f>
        <v>17136</v>
      </c>
      <c r="D672" s="4" t="str">
        <f>HYPERLINK("http://www.intercariforef.org/formations/certification-68734.html","68734")</f>
        <v>68734</v>
      </c>
      <c r="E672" s="5">
        <v>10873</v>
      </c>
      <c r="F672" s="5" t="s">
        <v>10</v>
      </c>
      <c r="G672" s="5" t="s">
        <v>11</v>
      </c>
      <c r="H672" s="3" t="s">
        <v>785</v>
      </c>
    </row>
    <row r="673" spans="1:8" ht="27.6" x14ac:dyDescent="0.25">
      <c r="A673" s="3" t="s">
        <v>8</v>
      </c>
      <c r="B673" s="3" t="s">
        <v>980</v>
      </c>
      <c r="C673" s="4" t="str">
        <f>HYPERLINK("http://www.rncp.cncp.gouv.fr/grand-public/visualisationFiche?format=fr&amp;fiche=11803","11803")</f>
        <v>11803</v>
      </c>
      <c r="D673" s="4" t="str">
        <f>HYPERLINK("http://www.intercariforef.org/formations/certification-74562.html","74562")</f>
        <v>74562</v>
      </c>
      <c r="E673" s="5">
        <v>11383</v>
      </c>
      <c r="F673" s="5" t="s">
        <v>10</v>
      </c>
      <c r="G673" s="5" t="s">
        <v>11</v>
      </c>
      <c r="H673" s="3" t="s">
        <v>934</v>
      </c>
    </row>
    <row r="674" spans="1:8" ht="27.6" x14ac:dyDescent="0.25">
      <c r="A674" s="3" t="s">
        <v>8</v>
      </c>
      <c r="B674" s="3" t="s">
        <v>981</v>
      </c>
      <c r="C674" s="5"/>
      <c r="D674" s="4" t="str">
        <f>HYPERLINK("http://www.intercariforef.org/formations/certification-72526.html","72526")</f>
        <v>72526</v>
      </c>
      <c r="E674" s="5">
        <v>127812</v>
      </c>
      <c r="F674" s="5" t="s">
        <v>10</v>
      </c>
      <c r="G674" s="5" t="s">
        <v>11</v>
      </c>
      <c r="H674" s="3" t="s">
        <v>934</v>
      </c>
    </row>
    <row r="675" spans="1:8" ht="27.6" x14ac:dyDescent="0.25">
      <c r="A675" s="3" t="s">
        <v>8</v>
      </c>
      <c r="B675" s="3" t="s">
        <v>982</v>
      </c>
      <c r="C675" s="4" t="str">
        <f>HYPERLINK("http://www.rncp.cncp.gouv.fr/grand-public/visualisationFiche?format=fr&amp;fiche=10024","10024")</f>
        <v>10024</v>
      </c>
      <c r="D675" s="4" t="str">
        <f>HYPERLINK("http://www.intercariforef.org/formations/certification-78061.html","78061")</f>
        <v>78061</v>
      </c>
      <c r="E675" s="5">
        <v>10878</v>
      </c>
      <c r="F675" s="5" t="s">
        <v>10</v>
      </c>
      <c r="G675" s="5" t="s">
        <v>11</v>
      </c>
      <c r="H675" s="3" t="s">
        <v>733</v>
      </c>
    </row>
    <row r="676" spans="1:8" ht="27.6" x14ac:dyDescent="0.25">
      <c r="A676" s="3" t="s">
        <v>8</v>
      </c>
      <c r="B676" s="3" t="s">
        <v>983</v>
      </c>
      <c r="C676" s="4" t="str">
        <f>HYPERLINK("http://www.rncp.cncp.gouv.fr/grand-public/visualisationFiche?format=fr&amp;fiche=9970","9970")</f>
        <v>9970</v>
      </c>
      <c r="D676" s="4" t="str">
        <f>HYPERLINK("http://www.intercariforef.org/formations/certification-63889.html","63889")</f>
        <v>63889</v>
      </c>
      <c r="E676" s="5">
        <v>11421</v>
      </c>
      <c r="F676" s="5" t="s">
        <v>10</v>
      </c>
      <c r="G676" s="5" t="s">
        <v>11</v>
      </c>
      <c r="H676" s="3" t="s">
        <v>731</v>
      </c>
    </row>
    <row r="677" spans="1:8" ht="27.6" x14ac:dyDescent="0.25">
      <c r="A677" s="3" t="s">
        <v>8</v>
      </c>
      <c r="B677" s="3" t="s">
        <v>984</v>
      </c>
      <c r="C677" s="4" t="str">
        <f>HYPERLINK("http://www.rncp.cncp.gouv.fr/grand-public/visualisationFiche?format=fr&amp;fiche=13435","13435")</f>
        <v>13435</v>
      </c>
      <c r="D677" s="4" t="str">
        <f>HYPERLINK("http://www.intercariforef.org/formations/certification-75724.html","75724")</f>
        <v>75724</v>
      </c>
      <c r="E677" s="5">
        <v>10929</v>
      </c>
      <c r="F677" s="5" t="s">
        <v>10</v>
      </c>
      <c r="G677" s="5" t="s">
        <v>11</v>
      </c>
      <c r="H677" s="3" t="s">
        <v>514</v>
      </c>
    </row>
    <row r="678" spans="1:8" ht="27.6" x14ac:dyDescent="0.25">
      <c r="A678" s="3" t="s">
        <v>8</v>
      </c>
      <c r="B678" s="3" t="s">
        <v>985</v>
      </c>
      <c r="C678" s="4" t="str">
        <f>HYPERLINK("http://www.rncp.cncp.gouv.fr/grand-public/visualisationFiche?format=fr&amp;fiche=13437","13437")</f>
        <v>13437</v>
      </c>
      <c r="D678" s="4" t="str">
        <f>HYPERLINK("http://www.intercariforef.org/formations/certification-75725.html","75725")</f>
        <v>75725</v>
      </c>
      <c r="E678" s="5">
        <v>10930</v>
      </c>
      <c r="F678" s="5" t="s">
        <v>10</v>
      </c>
      <c r="G678" s="5" t="s">
        <v>11</v>
      </c>
      <c r="H678" s="3" t="s">
        <v>514</v>
      </c>
    </row>
    <row r="679" spans="1:8" ht="13.8" x14ac:dyDescent="0.25">
      <c r="A679" s="3" t="s">
        <v>8</v>
      </c>
      <c r="B679" s="3" t="s">
        <v>986</v>
      </c>
      <c r="C679" s="4" t="str">
        <f>HYPERLINK("http://www.rncp.cncp.gouv.fr/grand-public/visualisationFiche?format=fr&amp;fiche=13541","13541")</f>
        <v>13541</v>
      </c>
      <c r="D679" s="4" t="str">
        <f>HYPERLINK("http://www.intercariforef.org/formations/certification-75722.html","75722")</f>
        <v>75722</v>
      </c>
      <c r="E679" s="5">
        <v>10928</v>
      </c>
      <c r="F679" s="5" t="s">
        <v>10</v>
      </c>
      <c r="G679" s="5" t="s">
        <v>11</v>
      </c>
      <c r="H679" s="3" t="s">
        <v>514</v>
      </c>
    </row>
    <row r="680" spans="1:8" ht="27.6" x14ac:dyDescent="0.25">
      <c r="A680" s="3" t="s">
        <v>8</v>
      </c>
      <c r="B680" s="3" t="s">
        <v>987</v>
      </c>
      <c r="C680" s="5"/>
      <c r="D680" s="4" t="str">
        <f>HYPERLINK("http://www.intercariforef.org/formations/certification-57979.html","57979")</f>
        <v>57979</v>
      </c>
      <c r="E680" s="5">
        <v>156442</v>
      </c>
      <c r="F680" s="5" t="s">
        <v>10</v>
      </c>
      <c r="G680" s="5" t="s">
        <v>11</v>
      </c>
      <c r="H680" s="3" t="s">
        <v>201</v>
      </c>
    </row>
    <row r="681" spans="1:8" ht="13.8" x14ac:dyDescent="0.25">
      <c r="A681" s="3" t="s">
        <v>8</v>
      </c>
      <c r="B681" s="3" t="s">
        <v>988</v>
      </c>
      <c r="C681" s="4" t="str">
        <f>HYPERLINK("http://www.rncp.cncp.gouv.fr/grand-public/visualisationFiche?format=fr&amp;fiche=5744","5744")</f>
        <v>5744</v>
      </c>
      <c r="D681" s="4" t="str">
        <f>HYPERLINK("http://www.intercariforef.org/formations/certification-58076.html","58076")</f>
        <v>58076</v>
      </c>
      <c r="E681" s="5">
        <v>145526</v>
      </c>
      <c r="F681" s="5" t="s">
        <v>10</v>
      </c>
      <c r="G681" s="5" t="s">
        <v>11</v>
      </c>
      <c r="H681" s="3" t="s">
        <v>27</v>
      </c>
    </row>
    <row r="682" spans="1:8" ht="13.8" x14ac:dyDescent="0.25">
      <c r="A682" s="3" t="s">
        <v>8</v>
      </c>
      <c r="B682" s="3" t="s">
        <v>989</v>
      </c>
      <c r="C682" s="4" t="str">
        <f>HYPERLINK("http://www.rncp.cncp.gouv.fr/grand-public/visualisationFiche?format=fr&amp;fiche=22161","22161")</f>
        <v>22161</v>
      </c>
      <c r="D682" s="4" t="str">
        <f>HYPERLINK("http://www.intercariforef.org/formations/certification-31418.html","31418")</f>
        <v>31418</v>
      </c>
      <c r="E682" s="5">
        <v>11440</v>
      </c>
      <c r="F682" s="5" t="s">
        <v>10</v>
      </c>
      <c r="G682" s="5" t="s">
        <v>11</v>
      </c>
      <c r="H682" s="3" t="s">
        <v>990</v>
      </c>
    </row>
    <row r="683" spans="1:8" ht="13.8" x14ac:dyDescent="0.25">
      <c r="A683" s="3" t="s">
        <v>8</v>
      </c>
      <c r="B683" s="3" t="s">
        <v>991</v>
      </c>
      <c r="C683" s="4" t="str">
        <f>HYPERLINK("http://www.rncp.cncp.gouv.fr/grand-public/visualisationFiche?format=fr&amp;fiche=19543","19543")</f>
        <v>19543</v>
      </c>
      <c r="D683" s="4" t="str">
        <f>HYPERLINK("http://www.intercariforef.org/formations/certification-83383.html","83383")</f>
        <v>83383</v>
      </c>
      <c r="E683" s="5">
        <v>11454</v>
      </c>
      <c r="F683" s="5" t="s">
        <v>10</v>
      </c>
      <c r="G683" s="5" t="s">
        <v>11</v>
      </c>
      <c r="H683" s="3" t="s">
        <v>20</v>
      </c>
    </row>
    <row r="684" spans="1:8" ht="13.8" x14ac:dyDescent="0.25">
      <c r="A684" s="3" t="s">
        <v>8</v>
      </c>
      <c r="B684" s="3" t="s">
        <v>992</v>
      </c>
      <c r="C684" s="4" t="str">
        <f>HYPERLINK("http://www.rncp.cncp.gouv.fr/grand-public/visualisationFiche?format=fr&amp;fiche=19544","19544")</f>
        <v>19544</v>
      </c>
      <c r="D684" s="4" t="str">
        <f>HYPERLINK("http://www.intercariforef.org/formations/certification-83382.html","83382")</f>
        <v>83382</v>
      </c>
      <c r="E684" s="5">
        <v>11456</v>
      </c>
      <c r="F684" s="5" t="s">
        <v>10</v>
      </c>
      <c r="G684" s="5" t="s">
        <v>11</v>
      </c>
      <c r="H684" s="3" t="s">
        <v>20</v>
      </c>
    </row>
    <row r="685" spans="1:8" ht="27.6" x14ac:dyDescent="0.25">
      <c r="A685" s="3" t="s">
        <v>8</v>
      </c>
      <c r="B685" s="3" t="s">
        <v>993</v>
      </c>
      <c r="C685" s="4" t="str">
        <f>HYPERLINK("http://www.rncp.cncp.gouv.fr/grand-public/visualisationFiche?format=fr&amp;fiche=2026","2026")</f>
        <v>2026</v>
      </c>
      <c r="D685" s="4" t="str">
        <f>HYPERLINK("http://www.intercariforef.org/formations/certification-47859.html","47859")</f>
        <v>47859</v>
      </c>
      <c r="E685" s="5">
        <v>11501</v>
      </c>
      <c r="F685" s="5" t="s">
        <v>10</v>
      </c>
      <c r="G685" s="5" t="s">
        <v>11</v>
      </c>
      <c r="H685" s="3" t="s">
        <v>994</v>
      </c>
    </row>
    <row r="686" spans="1:8" ht="13.8" x14ac:dyDescent="0.25">
      <c r="A686" s="3" t="s">
        <v>8</v>
      </c>
      <c r="B686" s="3" t="s">
        <v>995</v>
      </c>
      <c r="C686" s="4" t="str">
        <f>HYPERLINK("http://www.rncp.cncp.gouv.fr/grand-public/visualisationFiche?format=fr&amp;fiche=16958","16958")</f>
        <v>16958</v>
      </c>
      <c r="D686" s="4" t="str">
        <f>HYPERLINK("http://www.intercariforef.org/formations/certification-81365.html","81365")</f>
        <v>81365</v>
      </c>
      <c r="E686" s="5">
        <v>11503</v>
      </c>
      <c r="F686" s="5" t="s">
        <v>10</v>
      </c>
      <c r="G686" s="5" t="s">
        <v>11</v>
      </c>
      <c r="H686" s="3" t="s">
        <v>996</v>
      </c>
    </row>
    <row r="687" spans="1:8" ht="27.6" x14ac:dyDescent="0.25">
      <c r="A687" s="3" t="s">
        <v>8</v>
      </c>
      <c r="B687" s="3" t="s">
        <v>997</v>
      </c>
      <c r="C687" s="4" t="str">
        <f>HYPERLINK("http://www.rncp.cncp.gouv.fr/grand-public/visualisationFiche?format=fr&amp;fiche=13011","13011")</f>
        <v>13011</v>
      </c>
      <c r="D687" s="4" t="str">
        <f>HYPERLINK("http://www.intercariforef.org/formations/certification-76223.html","76223")</f>
        <v>76223</v>
      </c>
      <c r="E687" s="5">
        <v>11502</v>
      </c>
      <c r="F687" s="5" t="s">
        <v>10</v>
      </c>
      <c r="G687" s="5" t="s">
        <v>11</v>
      </c>
      <c r="H687" s="3" t="s">
        <v>998</v>
      </c>
    </row>
    <row r="688" spans="1:8" ht="27.6" x14ac:dyDescent="0.25">
      <c r="A688" s="3" t="s">
        <v>8</v>
      </c>
      <c r="B688" s="3" t="s">
        <v>999</v>
      </c>
      <c r="C688" s="5"/>
      <c r="D688" s="4" t="str">
        <f>HYPERLINK("http://www.intercariforef.org/formations/certification-50926.html","50926")</f>
        <v>50926</v>
      </c>
      <c r="E688" s="5">
        <v>12395</v>
      </c>
      <c r="F688" s="5" t="s">
        <v>10</v>
      </c>
      <c r="G688" s="5" t="s">
        <v>11</v>
      </c>
      <c r="H688" s="3" t="s">
        <v>1000</v>
      </c>
    </row>
    <row r="689" spans="1:8" ht="27.6" x14ac:dyDescent="0.25">
      <c r="A689" s="3" t="s">
        <v>8</v>
      </c>
      <c r="B689" s="3" t="s">
        <v>1001</v>
      </c>
      <c r="C689" s="5"/>
      <c r="D689" s="4" t="str">
        <f>HYPERLINK("http://www.intercariforef.org/formations/certification-53374.html","53374")</f>
        <v>53374</v>
      </c>
      <c r="E689" s="5">
        <v>12387</v>
      </c>
      <c r="F689" s="5" t="s">
        <v>10</v>
      </c>
      <c r="G689" s="5" t="s">
        <v>11</v>
      </c>
      <c r="H689" s="3" t="s">
        <v>1002</v>
      </c>
    </row>
    <row r="690" spans="1:8" ht="27.6" x14ac:dyDescent="0.25">
      <c r="A690" s="3" t="s">
        <v>8</v>
      </c>
      <c r="B690" s="3" t="s">
        <v>1003</v>
      </c>
      <c r="C690" s="5"/>
      <c r="D690" s="4" t="str">
        <f>HYPERLINK("http://www.intercariforef.org/formations/certification-50923.html","50923")</f>
        <v>50923</v>
      </c>
      <c r="E690" s="5">
        <v>12386</v>
      </c>
      <c r="F690" s="5" t="s">
        <v>10</v>
      </c>
      <c r="G690" s="5" t="s">
        <v>11</v>
      </c>
      <c r="H690" s="3" t="s">
        <v>1002</v>
      </c>
    </row>
    <row r="691" spans="1:8" ht="13.8" x14ac:dyDescent="0.25">
      <c r="A691" s="3" t="s">
        <v>1004</v>
      </c>
      <c r="B691" s="3" t="s">
        <v>1005</v>
      </c>
      <c r="C691" s="4" t="str">
        <f>HYPERLINK("http://www.rncp.cncp.gouv.fr/grand-public/visualisationFiche?format=fr&amp;fiche=15027","15027")</f>
        <v>15027</v>
      </c>
      <c r="D691" s="4" t="str">
        <f>HYPERLINK("http://www.intercariforef.org/formations/certification-57825.html","57825")</f>
        <v>57825</v>
      </c>
      <c r="E691" s="5">
        <v>150476</v>
      </c>
      <c r="F691" s="5" t="s">
        <v>10</v>
      </c>
      <c r="G691" s="5" t="s">
        <v>11</v>
      </c>
      <c r="H691" s="3" t="s">
        <v>1006</v>
      </c>
    </row>
    <row r="692" spans="1:8" ht="13.8" x14ac:dyDescent="0.25">
      <c r="A692" s="3" t="s">
        <v>1004</v>
      </c>
      <c r="B692" s="3" t="s">
        <v>1007</v>
      </c>
      <c r="C692" s="4" t="str">
        <f>HYPERLINK("http://www.rncp.cncp.gouv.fr/grand-public/visualisationFiche?format=fr&amp;fiche=22926","22926")</f>
        <v>22926</v>
      </c>
      <c r="D692" s="4" t="str">
        <f>HYPERLINK("http://www.intercariforef.org/formations/certification-53289.html","53289")</f>
        <v>53289</v>
      </c>
      <c r="E692" s="5">
        <v>2600</v>
      </c>
      <c r="F692" s="5" t="s">
        <v>10</v>
      </c>
      <c r="G692" s="5" t="s">
        <v>11</v>
      </c>
      <c r="H692" s="3" t="s">
        <v>1008</v>
      </c>
    </row>
    <row r="693" spans="1:8" ht="13.8" x14ac:dyDescent="0.25">
      <c r="A693" s="3" t="s">
        <v>1004</v>
      </c>
      <c r="B693" s="3" t="s">
        <v>1009</v>
      </c>
      <c r="C693" s="4" t="str">
        <f>HYPERLINK("http://www.rncp.cncp.gouv.fr/grand-public/visualisationFiche?format=fr&amp;fiche=16895","16895")</f>
        <v>16895</v>
      </c>
      <c r="D693" s="4" t="str">
        <f>HYPERLINK("http://www.intercariforef.org/formations/certification-81354.html","81354")</f>
        <v>81354</v>
      </c>
      <c r="E693" s="5">
        <v>8675</v>
      </c>
      <c r="F693" s="5" t="s">
        <v>10</v>
      </c>
      <c r="G693" s="5" t="s">
        <v>11</v>
      </c>
      <c r="H693" s="3" t="s">
        <v>1010</v>
      </c>
    </row>
    <row r="694" spans="1:8" ht="13.8" x14ac:dyDescent="0.25">
      <c r="A694" s="3" t="s">
        <v>1004</v>
      </c>
      <c r="B694" s="3" t="s">
        <v>1011</v>
      </c>
      <c r="C694" s="4" t="str">
        <f>HYPERLINK("http://www.rncp.cncp.gouv.fr/grand-public/visualisationFiche?format=fr&amp;fiche=19178","19178")</f>
        <v>19178</v>
      </c>
      <c r="D694" s="4" t="str">
        <f>HYPERLINK("http://www.intercariforef.org/formations/certification-78996.html","78996")</f>
        <v>78996</v>
      </c>
      <c r="E694" s="5">
        <v>2603</v>
      </c>
      <c r="F694" s="5" t="s">
        <v>10</v>
      </c>
      <c r="G694" s="5" t="s">
        <v>11</v>
      </c>
      <c r="H694" s="3" t="s">
        <v>1012</v>
      </c>
    </row>
    <row r="695" spans="1:8" ht="27.6" x14ac:dyDescent="0.25">
      <c r="A695" s="3" t="s">
        <v>1004</v>
      </c>
      <c r="B695" s="3" t="s">
        <v>1013</v>
      </c>
      <c r="C695" s="4" t="str">
        <f>HYPERLINK("http://www.rncp.cncp.gouv.fr/grand-public/visualisationFiche?format=fr&amp;fiche=2514","2514")</f>
        <v>2514</v>
      </c>
      <c r="D695" s="4" t="str">
        <f>HYPERLINK("http://www.intercariforef.org/formations/certification-31056.html","31056")</f>
        <v>31056</v>
      </c>
      <c r="E695" s="5">
        <v>161331</v>
      </c>
      <c r="F695" s="5" t="s">
        <v>10</v>
      </c>
      <c r="G695" s="5" t="s">
        <v>11</v>
      </c>
      <c r="H695" s="3" t="s">
        <v>25</v>
      </c>
    </row>
    <row r="696" spans="1:8" ht="13.8" x14ac:dyDescent="0.25">
      <c r="A696" s="3" t="s">
        <v>1004</v>
      </c>
      <c r="B696" s="3" t="s">
        <v>1014</v>
      </c>
      <c r="C696" s="4" t="str">
        <f>HYPERLINK("http://www.rncp.cncp.gouv.fr/grand-public/visualisationFiche?format=fr&amp;fiche=13597","13597")</f>
        <v>13597</v>
      </c>
      <c r="D696" s="4" t="str">
        <f>HYPERLINK("http://www.intercariforef.org/formations/certification-31101.html","31101")</f>
        <v>31101</v>
      </c>
      <c r="E696" s="5">
        <v>2604</v>
      </c>
      <c r="F696" s="5" t="s">
        <v>10</v>
      </c>
      <c r="G696" s="5" t="s">
        <v>11</v>
      </c>
      <c r="H696" s="3" t="s">
        <v>1015</v>
      </c>
    </row>
    <row r="697" spans="1:8" ht="13.8" x14ac:dyDescent="0.25">
      <c r="A697" s="3" t="s">
        <v>1004</v>
      </c>
      <c r="B697" s="3" t="s">
        <v>1016</v>
      </c>
      <c r="C697" s="4" t="str">
        <f>HYPERLINK("http://www.rncp.cncp.gouv.fr/grand-public/visualisationFiche?format=fr&amp;fiche=11513","11513")</f>
        <v>11513</v>
      </c>
      <c r="D697" s="4" t="str">
        <f>HYPERLINK("http://www.intercariforef.org/formations/certification-53712.html","53712")</f>
        <v>53712</v>
      </c>
      <c r="E697" s="5">
        <v>2605</v>
      </c>
      <c r="F697" s="5" t="s">
        <v>10</v>
      </c>
      <c r="G697" s="5" t="s">
        <v>11</v>
      </c>
      <c r="H697" s="3" t="s">
        <v>1017</v>
      </c>
    </row>
    <row r="698" spans="1:8" ht="13.8" x14ac:dyDescent="0.25">
      <c r="A698" s="3" t="s">
        <v>1004</v>
      </c>
      <c r="B698" s="3" t="s">
        <v>1018</v>
      </c>
      <c r="C698" s="4" t="str">
        <f>HYPERLINK("http://www.rncp.cncp.gouv.fr/grand-public/visualisationFiche?format=fr&amp;fiche=20506","20506")</f>
        <v>20506</v>
      </c>
      <c r="D698" s="4" t="str">
        <f>HYPERLINK("http://www.intercariforef.org/formations/certification-83642.html","83642")</f>
        <v>83642</v>
      </c>
      <c r="E698" s="5">
        <v>145181</v>
      </c>
      <c r="F698" s="5" t="s">
        <v>10</v>
      </c>
      <c r="G698" s="5" t="s">
        <v>11</v>
      </c>
      <c r="H698" s="3" t="s">
        <v>606</v>
      </c>
    </row>
    <row r="699" spans="1:8" ht="13.8" x14ac:dyDescent="0.25">
      <c r="A699" s="3" t="s">
        <v>1004</v>
      </c>
      <c r="B699" s="3" t="s">
        <v>1019</v>
      </c>
      <c r="C699" s="4" t="str">
        <f>HYPERLINK("http://www.rncp.cncp.gouv.fr/grand-public/visualisationFiche?format=fr&amp;fiche=17832","17832")</f>
        <v>17832</v>
      </c>
      <c r="D699" s="4" t="str">
        <f>HYPERLINK("http://www.intercariforef.org/formations/certification-82296.html","82296")</f>
        <v>82296</v>
      </c>
      <c r="E699" s="5">
        <v>2616</v>
      </c>
      <c r="F699" s="5" t="s">
        <v>10</v>
      </c>
      <c r="G699" s="5" t="s">
        <v>11</v>
      </c>
      <c r="H699" s="3" t="s">
        <v>89</v>
      </c>
    </row>
    <row r="700" spans="1:8" ht="27.6" x14ac:dyDescent="0.25">
      <c r="A700" s="3" t="s">
        <v>1004</v>
      </c>
      <c r="B700" s="3" t="s">
        <v>1020</v>
      </c>
      <c r="C700" s="4" t="str">
        <f>HYPERLINK("http://www.rncp.cncp.gouv.fr/grand-public/visualisationFiche?format=fr&amp;fiche=17966","17966")</f>
        <v>17966</v>
      </c>
      <c r="D700" s="4" t="str">
        <f>HYPERLINK("http://www.intercariforef.org/formations/certification-82301.html","82301")</f>
        <v>82301</v>
      </c>
      <c r="E700" s="5">
        <v>2617</v>
      </c>
      <c r="F700" s="5" t="s">
        <v>10</v>
      </c>
      <c r="G700" s="5" t="s">
        <v>11</v>
      </c>
      <c r="H700" s="3" t="s">
        <v>1021</v>
      </c>
    </row>
    <row r="701" spans="1:8" ht="13.8" x14ac:dyDescent="0.25">
      <c r="A701" s="3" t="s">
        <v>1004</v>
      </c>
      <c r="B701" s="3" t="s">
        <v>1022</v>
      </c>
      <c r="C701" s="4" t="str">
        <f>HYPERLINK("http://www.rncp.cncp.gouv.fr/grand-public/visualisationFiche?format=fr&amp;fiche=9095","9095")</f>
        <v>9095</v>
      </c>
      <c r="D701" s="4" t="str">
        <f>HYPERLINK("http://www.intercariforef.org/formations/certification-64649.html","64649")</f>
        <v>64649</v>
      </c>
      <c r="E701" s="5">
        <v>2618</v>
      </c>
      <c r="F701" s="5" t="s">
        <v>10</v>
      </c>
      <c r="G701" s="5" t="s">
        <v>11</v>
      </c>
      <c r="H701" s="3" t="s">
        <v>1023</v>
      </c>
    </row>
    <row r="702" spans="1:8" ht="13.8" x14ac:dyDescent="0.25">
      <c r="A702" s="3" t="s">
        <v>1004</v>
      </c>
      <c r="B702" s="3" t="s">
        <v>1024</v>
      </c>
      <c r="C702" s="4" t="str">
        <f>HYPERLINK("http://www.rncp.cncp.gouv.fr/grand-public/visualisationFiche?format=fr&amp;fiche=21956","21956")</f>
        <v>21956</v>
      </c>
      <c r="D702" s="4" t="str">
        <f>HYPERLINK("http://www.intercariforef.org/formations/certification-79012.html","79012")</f>
        <v>79012</v>
      </c>
      <c r="E702" s="5">
        <v>2619</v>
      </c>
      <c r="F702" s="5" t="s">
        <v>10</v>
      </c>
      <c r="G702" s="5" t="s">
        <v>11</v>
      </c>
      <c r="H702" s="3" t="s">
        <v>1025</v>
      </c>
    </row>
    <row r="703" spans="1:8" ht="27.6" x14ac:dyDescent="0.25">
      <c r="A703" s="3" t="s">
        <v>1004</v>
      </c>
      <c r="B703" s="3" t="s">
        <v>1026</v>
      </c>
      <c r="C703" s="4" t="str">
        <f>HYPERLINK("http://www.rncp.cncp.gouv.fr/grand-public/visualisationFiche?format=fr&amp;fiche=15093","15093")</f>
        <v>15093</v>
      </c>
      <c r="D703" s="4" t="str">
        <f>HYPERLINK("http://www.intercariforef.org/formations/certification-78865.html","78865")</f>
        <v>78865</v>
      </c>
      <c r="E703" s="5">
        <v>2620</v>
      </c>
      <c r="F703" s="5" t="s">
        <v>10</v>
      </c>
      <c r="G703" s="5" t="s">
        <v>11</v>
      </c>
      <c r="H703" s="3" t="s">
        <v>1027</v>
      </c>
    </row>
    <row r="704" spans="1:8" ht="13.8" x14ac:dyDescent="0.25">
      <c r="A704" s="3" t="s">
        <v>1004</v>
      </c>
      <c r="B704" s="3" t="s">
        <v>1028</v>
      </c>
      <c r="C704" s="4" t="str">
        <f>HYPERLINK("http://www.rncp.cncp.gouv.fr/grand-public/visualisationFiche?format=fr&amp;fiche=17676","17676")</f>
        <v>17676</v>
      </c>
      <c r="D704" s="4" t="str">
        <f>HYPERLINK("http://www.intercariforef.org/formations/certification-81634.html","81634")</f>
        <v>81634</v>
      </c>
      <c r="E704" s="5">
        <v>2621</v>
      </c>
      <c r="F704" s="5" t="s">
        <v>10</v>
      </c>
      <c r="G704" s="5" t="s">
        <v>11</v>
      </c>
      <c r="H704" s="3" t="s">
        <v>663</v>
      </c>
    </row>
    <row r="705" spans="1:8" ht="27.6" x14ac:dyDescent="0.25">
      <c r="A705" s="3" t="s">
        <v>1004</v>
      </c>
      <c r="B705" s="3" t="s">
        <v>1029</v>
      </c>
      <c r="C705" s="4" t="str">
        <f>HYPERLINK("http://www.rncp.cncp.gouv.fr/grand-public/visualisationFiche?format=fr&amp;fiche=15096","15096")</f>
        <v>15096</v>
      </c>
      <c r="D705" s="4" t="str">
        <f>HYPERLINK("http://www.intercariforef.org/formations/certification-80753.html","80753")</f>
        <v>80753</v>
      </c>
      <c r="E705" s="5">
        <v>2623</v>
      </c>
      <c r="F705" s="5" t="s">
        <v>10</v>
      </c>
      <c r="G705" s="5" t="s">
        <v>11</v>
      </c>
      <c r="H705" s="3" t="s">
        <v>1027</v>
      </c>
    </row>
    <row r="706" spans="1:8" ht="27.6" x14ac:dyDescent="0.25">
      <c r="A706" s="3" t="s">
        <v>1004</v>
      </c>
      <c r="B706" s="3" t="s">
        <v>1030</v>
      </c>
      <c r="C706" s="4" t="str">
        <f>HYPERLINK("http://www.rncp.cncp.gouv.fr/grand-public/visualisationFiche?format=fr&amp;fiche=12380","12380")</f>
        <v>12380</v>
      </c>
      <c r="D706" s="4" t="str">
        <f>HYPERLINK("http://www.intercariforef.org/formations/certification-74843.html","74843")</f>
        <v>74843</v>
      </c>
      <c r="E706" s="5">
        <v>2622</v>
      </c>
      <c r="F706" s="5" t="s">
        <v>10</v>
      </c>
      <c r="G706" s="5" t="s">
        <v>11</v>
      </c>
      <c r="H706" s="3" t="s">
        <v>589</v>
      </c>
    </row>
    <row r="707" spans="1:8" ht="27.6" x14ac:dyDescent="0.25">
      <c r="A707" s="3" t="s">
        <v>1004</v>
      </c>
      <c r="B707" s="3" t="s">
        <v>1031</v>
      </c>
      <c r="C707" s="4" t="str">
        <f>HYPERLINK("http://www.rncp.cncp.gouv.fr/grand-public/visualisationFiche?format=fr&amp;fiche=15094","15094")</f>
        <v>15094</v>
      </c>
      <c r="D707" s="4" t="str">
        <f>HYPERLINK("http://www.intercariforef.org/formations/certification-78866.html","78866")</f>
        <v>78866</v>
      </c>
      <c r="E707" s="5">
        <v>16255</v>
      </c>
      <c r="F707" s="5" t="s">
        <v>10</v>
      </c>
      <c r="G707" s="5" t="s">
        <v>11</v>
      </c>
      <c r="H707" s="3" t="s">
        <v>1027</v>
      </c>
    </row>
    <row r="708" spans="1:8" ht="27.6" x14ac:dyDescent="0.25">
      <c r="A708" s="3" t="s">
        <v>1004</v>
      </c>
      <c r="B708" s="3" t="s">
        <v>1032</v>
      </c>
      <c r="C708" s="4" t="str">
        <f>HYPERLINK("http://www.rncp.cncp.gouv.fr/grand-public/visualisationFiche?format=fr&amp;fiche=13889","13889")</f>
        <v>13889</v>
      </c>
      <c r="D708" s="4" t="str">
        <f>HYPERLINK("http://www.intercariforef.org/formations/certification-52926.html","52926")</f>
        <v>52926</v>
      </c>
      <c r="E708" s="5">
        <v>2624</v>
      </c>
      <c r="F708" s="5" t="s">
        <v>10</v>
      </c>
      <c r="G708" s="5" t="s">
        <v>11</v>
      </c>
      <c r="H708" s="3" t="s">
        <v>1033</v>
      </c>
    </row>
    <row r="709" spans="1:8" ht="13.8" x14ac:dyDescent="0.25">
      <c r="A709" s="3" t="s">
        <v>1004</v>
      </c>
      <c r="B709" s="3" t="s">
        <v>1034</v>
      </c>
      <c r="C709" s="4" t="str">
        <f>HYPERLINK("http://www.rncp.cncp.gouv.fr/grand-public/visualisationFiche?format=fr&amp;fiche=4308","4308")</f>
        <v>4308</v>
      </c>
      <c r="D709" s="4" t="str">
        <f>HYPERLINK("http://www.intercariforef.org/formations/certification-50856.html","50856")</f>
        <v>50856</v>
      </c>
      <c r="E709" s="5">
        <v>2625</v>
      </c>
      <c r="F709" s="5" t="s">
        <v>10</v>
      </c>
      <c r="G709" s="5" t="s">
        <v>11</v>
      </c>
      <c r="H709" s="3" t="s">
        <v>608</v>
      </c>
    </row>
    <row r="710" spans="1:8" ht="13.8" x14ac:dyDescent="0.25">
      <c r="A710" s="3" t="s">
        <v>1004</v>
      </c>
      <c r="B710" s="3" t="s">
        <v>1035</v>
      </c>
      <c r="C710" s="4" t="str">
        <f>HYPERLINK("http://www.rncp.cncp.gouv.fr/grand-public/visualisationFiche?format=fr&amp;fiche=19205","19205")</f>
        <v>19205</v>
      </c>
      <c r="D710" s="4" t="str">
        <f>HYPERLINK("http://www.intercariforef.org/formations/certification-83215.html","83215")</f>
        <v>83215</v>
      </c>
      <c r="E710" s="5">
        <v>2626</v>
      </c>
      <c r="F710" s="5" t="s">
        <v>10</v>
      </c>
      <c r="G710" s="5" t="s">
        <v>11</v>
      </c>
      <c r="H710" s="3" t="s">
        <v>1036</v>
      </c>
    </row>
    <row r="711" spans="1:8" ht="13.8" x14ac:dyDescent="0.25">
      <c r="A711" s="3" t="s">
        <v>1004</v>
      </c>
      <c r="B711" s="3" t="s">
        <v>1037</v>
      </c>
      <c r="C711" s="4" t="str">
        <f>HYPERLINK("http://www.rncp.cncp.gouv.fr/grand-public/visualisationFiche?format=fr&amp;fiche=2326","2326")</f>
        <v>2326</v>
      </c>
      <c r="D711" s="4" t="str">
        <f>HYPERLINK("http://www.intercariforef.org/formations/certification-31111.html","31111")</f>
        <v>31111</v>
      </c>
      <c r="E711" s="5">
        <v>2627</v>
      </c>
      <c r="F711" s="5" t="s">
        <v>10</v>
      </c>
      <c r="G711" s="5" t="s">
        <v>11</v>
      </c>
      <c r="H711" s="3" t="s">
        <v>996</v>
      </c>
    </row>
    <row r="712" spans="1:8" ht="13.8" x14ac:dyDescent="0.25">
      <c r="A712" s="3" t="s">
        <v>1004</v>
      </c>
      <c r="B712" s="3" t="s">
        <v>1038</v>
      </c>
      <c r="C712" s="4" t="str">
        <f>HYPERLINK("http://www.rncp.cncp.gouv.fr/grand-public/visualisationFiche?format=fr&amp;fiche=12562","12562")</f>
        <v>12562</v>
      </c>
      <c r="D712" s="4" t="str">
        <f>HYPERLINK("http://www.intercariforef.org/formations/certification-74838.html","74838")</f>
        <v>74838</v>
      </c>
      <c r="E712" s="5">
        <v>2631</v>
      </c>
      <c r="F712" s="5" t="s">
        <v>10</v>
      </c>
      <c r="G712" s="5" t="s">
        <v>11</v>
      </c>
      <c r="H712" s="3" t="s">
        <v>640</v>
      </c>
    </row>
    <row r="713" spans="1:8" ht="13.8" x14ac:dyDescent="0.25">
      <c r="A713" s="3" t="s">
        <v>1004</v>
      </c>
      <c r="B713" s="3" t="s">
        <v>1039</v>
      </c>
      <c r="C713" s="4" t="str">
        <f>HYPERLINK("http://www.rncp.cncp.gouv.fr/grand-public/visualisationFiche?format=fr&amp;fiche=13388","13388")</f>
        <v>13388</v>
      </c>
      <c r="D713" s="4" t="str">
        <f>HYPERLINK("http://www.intercariforef.org/formations/certification-76770.html","76770")</f>
        <v>76770</v>
      </c>
      <c r="E713" s="5">
        <v>17520</v>
      </c>
      <c r="F713" s="5" t="s">
        <v>10</v>
      </c>
      <c r="G713" s="5" t="s">
        <v>11</v>
      </c>
      <c r="H713" s="3" t="s">
        <v>36</v>
      </c>
    </row>
    <row r="714" spans="1:8" ht="13.8" x14ac:dyDescent="0.25">
      <c r="A714" s="3" t="s">
        <v>1004</v>
      </c>
      <c r="B714" s="3" t="s">
        <v>1040</v>
      </c>
      <c r="C714" s="4" t="str">
        <f>HYPERLINK("http://www.rncp.cncp.gouv.fr/grand-public/visualisationFiche?format=fr&amp;fiche=15575","15575")</f>
        <v>15575</v>
      </c>
      <c r="D714" s="4" t="str">
        <f>HYPERLINK("http://www.intercariforef.org/formations/certification-78994.html","78994")</f>
        <v>78994</v>
      </c>
      <c r="E714" s="5">
        <v>8676</v>
      </c>
      <c r="F714" s="5" t="s">
        <v>10</v>
      </c>
      <c r="G714" s="5" t="s">
        <v>11</v>
      </c>
      <c r="H714" s="3" t="s">
        <v>1041</v>
      </c>
    </row>
    <row r="715" spans="1:8" ht="13.8" x14ac:dyDescent="0.25">
      <c r="A715" s="3" t="s">
        <v>1004</v>
      </c>
      <c r="B715" s="3" t="s">
        <v>1042</v>
      </c>
      <c r="C715" s="4" t="str">
        <f>HYPERLINK("http://www.rncp.cncp.gouv.fr/grand-public/visualisationFiche?format=fr&amp;fiche=13704","13704")</f>
        <v>13704</v>
      </c>
      <c r="D715" s="4" t="str">
        <f>HYPERLINK("http://www.intercariforef.org/formations/certification-68531.html","68531")</f>
        <v>68531</v>
      </c>
      <c r="E715" s="5">
        <v>8677</v>
      </c>
      <c r="F715" s="5" t="s">
        <v>10</v>
      </c>
      <c r="G715" s="5" t="s">
        <v>11</v>
      </c>
      <c r="H715" s="3" t="s">
        <v>1043</v>
      </c>
    </row>
    <row r="716" spans="1:8" ht="13.8" x14ac:dyDescent="0.25">
      <c r="A716" s="3" t="s">
        <v>1004</v>
      </c>
      <c r="B716" s="3" t="s">
        <v>1044</v>
      </c>
      <c r="C716" s="4" t="str">
        <f>HYPERLINK("http://www.rncp.cncp.gouv.fr/grand-public/visualisationFiche?format=fr&amp;fiche=9099","9099")</f>
        <v>9099</v>
      </c>
      <c r="D716" s="4" t="str">
        <f>HYPERLINK("http://www.intercariforef.org/formations/certification-64654.html","64654")</f>
        <v>64654</v>
      </c>
      <c r="E716" s="5">
        <v>8707</v>
      </c>
      <c r="F716" s="5" t="s">
        <v>10</v>
      </c>
      <c r="G716" s="5" t="s">
        <v>11</v>
      </c>
      <c r="H716" s="3" t="s">
        <v>1045</v>
      </c>
    </row>
    <row r="717" spans="1:8" ht="27.6" x14ac:dyDescent="0.25">
      <c r="A717" s="3" t="s">
        <v>1004</v>
      </c>
      <c r="B717" s="3" t="s">
        <v>1046</v>
      </c>
      <c r="C717" s="4" t="str">
        <f>HYPERLINK("http://www.rncp.cncp.gouv.fr/grand-public/visualisationFiche?format=fr&amp;fiche=5334","5334")</f>
        <v>5334</v>
      </c>
      <c r="D717" s="4" t="str">
        <f>HYPERLINK("http://www.intercariforef.org/formations/certification-54305.html","54305")</f>
        <v>54305</v>
      </c>
      <c r="E717" s="5">
        <v>2635</v>
      </c>
      <c r="F717" s="5" t="s">
        <v>10</v>
      </c>
      <c r="G717" s="5" t="s">
        <v>11</v>
      </c>
      <c r="H717" s="3" t="s">
        <v>1047</v>
      </c>
    </row>
    <row r="718" spans="1:8" ht="27.6" x14ac:dyDescent="0.25">
      <c r="A718" s="3" t="s">
        <v>1004</v>
      </c>
      <c r="B718" s="3" t="s">
        <v>1048</v>
      </c>
      <c r="C718" s="4" t="str">
        <f>HYPERLINK("http://www.rncp.cncp.gouv.fr/grand-public/visualisationFiche?format=fr&amp;fiche=17224","17224")</f>
        <v>17224</v>
      </c>
      <c r="D718" s="4" t="str">
        <f>HYPERLINK("http://www.intercariforef.org/formations/certification-53194.html","53194")</f>
        <v>53194</v>
      </c>
      <c r="E718" s="5">
        <v>131139</v>
      </c>
      <c r="F718" s="5" t="s">
        <v>10</v>
      </c>
      <c r="G718" s="5" t="s">
        <v>11</v>
      </c>
      <c r="H718" s="3" t="s">
        <v>1049</v>
      </c>
    </row>
    <row r="719" spans="1:8" ht="13.8" x14ac:dyDescent="0.25">
      <c r="A719" s="3" t="s">
        <v>1004</v>
      </c>
      <c r="B719" s="3" t="s">
        <v>1050</v>
      </c>
      <c r="C719" s="4" t="str">
        <f>HYPERLINK("http://www.rncp.cncp.gouv.fr/grand-public/visualisationFiche?format=fr&amp;fiche=15248","15248")</f>
        <v>15248</v>
      </c>
      <c r="D719" s="4" t="str">
        <f>HYPERLINK("http://www.intercariforef.org/formations/certification-79014.html","79014")</f>
        <v>79014</v>
      </c>
      <c r="E719" s="5">
        <v>2639</v>
      </c>
      <c r="F719" s="5" t="s">
        <v>10</v>
      </c>
      <c r="G719" s="5" t="s">
        <v>11</v>
      </c>
      <c r="H719" s="3" t="s">
        <v>1051</v>
      </c>
    </row>
    <row r="720" spans="1:8" ht="13.8" x14ac:dyDescent="0.25">
      <c r="A720" s="3" t="s">
        <v>1004</v>
      </c>
      <c r="B720" s="3" t="s">
        <v>1052</v>
      </c>
      <c r="C720" s="4" t="str">
        <f>HYPERLINK("http://www.rncp.cncp.gouv.fr/grand-public/visualisationFiche?format=fr&amp;fiche=1534","1534")</f>
        <v>1534</v>
      </c>
      <c r="D720" s="4" t="str">
        <f>HYPERLINK("http://www.intercariforef.org/formations/certification-83219.html","83219")</f>
        <v>83219</v>
      </c>
      <c r="E720" s="5">
        <v>8708</v>
      </c>
      <c r="F720" s="5" t="s">
        <v>10</v>
      </c>
      <c r="G720" s="5" t="s">
        <v>11</v>
      </c>
      <c r="H720" s="3" t="s">
        <v>1053</v>
      </c>
    </row>
    <row r="721" spans="1:8" ht="13.8" x14ac:dyDescent="0.25">
      <c r="A721" s="3" t="s">
        <v>1004</v>
      </c>
      <c r="B721" s="3" t="s">
        <v>1054</v>
      </c>
      <c r="C721" s="4" t="str">
        <f>HYPERLINK("http://www.rncp.cncp.gouv.fr/grand-public/visualisationFiche?format=fr&amp;fiche=12062","12062")</f>
        <v>12062</v>
      </c>
      <c r="D721" s="4" t="str">
        <f>HYPERLINK("http://www.intercariforef.org/formations/certification-73814.html","73814")</f>
        <v>73814</v>
      </c>
      <c r="E721" s="5">
        <v>2637</v>
      </c>
      <c r="F721" s="5" t="s">
        <v>10</v>
      </c>
      <c r="G721" s="5" t="s">
        <v>11</v>
      </c>
      <c r="H721" s="3" t="s">
        <v>708</v>
      </c>
    </row>
    <row r="722" spans="1:8" ht="27.6" x14ac:dyDescent="0.25">
      <c r="A722" s="3" t="s">
        <v>1004</v>
      </c>
      <c r="B722" s="3" t="s">
        <v>1055</v>
      </c>
      <c r="C722" s="4" t="str">
        <f>HYPERLINK("http://www.rncp.cncp.gouv.fr/grand-public/visualisationFiche?format=fr&amp;fiche=13676","13676")</f>
        <v>13676</v>
      </c>
      <c r="D722" s="4" t="str">
        <f>HYPERLINK("http://www.intercariforef.org/formations/certification-77009.html","77009")</f>
        <v>77009</v>
      </c>
      <c r="E722" s="5">
        <v>8710</v>
      </c>
      <c r="F722" s="5" t="s">
        <v>10</v>
      </c>
      <c r="G722" s="5" t="s">
        <v>11</v>
      </c>
      <c r="H722" s="3" t="s">
        <v>589</v>
      </c>
    </row>
    <row r="723" spans="1:8" ht="13.8" x14ac:dyDescent="0.25">
      <c r="A723" s="3" t="s">
        <v>1004</v>
      </c>
      <c r="B723" s="3" t="s">
        <v>1056</v>
      </c>
      <c r="C723" s="4" t="str">
        <f>HYPERLINK("http://www.rncp.cncp.gouv.fr/grand-public/visualisationFiche?format=fr&amp;fiche=16932","16932")</f>
        <v>16932</v>
      </c>
      <c r="D723" s="4" t="str">
        <f>HYPERLINK("http://www.intercariforef.org/formations/certification-77525.html","77525")</f>
        <v>77525</v>
      </c>
      <c r="E723" s="5">
        <v>2638</v>
      </c>
      <c r="F723" s="5" t="s">
        <v>10</v>
      </c>
      <c r="G723" s="5" t="s">
        <v>11</v>
      </c>
      <c r="H723" s="3" t="s">
        <v>1057</v>
      </c>
    </row>
    <row r="724" spans="1:8" ht="27.6" x14ac:dyDescent="0.25">
      <c r="A724" s="3" t="s">
        <v>1004</v>
      </c>
      <c r="B724" s="3" t="s">
        <v>1058</v>
      </c>
      <c r="C724" s="4" t="str">
        <f>HYPERLINK("http://www.rncp.cncp.gouv.fr/grand-public/visualisationFiche?format=fr&amp;fiche=16202","16202")</f>
        <v>16202</v>
      </c>
      <c r="D724" s="4" t="str">
        <f>HYPERLINK("http://www.intercariforef.org/formations/certification-48154.html","48154")</f>
        <v>48154</v>
      </c>
      <c r="E724" s="5">
        <v>2634</v>
      </c>
      <c r="F724" s="5" t="s">
        <v>10</v>
      </c>
      <c r="G724" s="5" t="s">
        <v>11</v>
      </c>
      <c r="H724" s="3" t="s">
        <v>597</v>
      </c>
    </row>
    <row r="725" spans="1:8" ht="27.6" x14ac:dyDescent="0.25">
      <c r="A725" s="3" t="s">
        <v>1004</v>
      </c>
      <c r="B725" s="3" t="s">
        <v>1059</v>
      </c>
      <c r="C725" s="4" t="str">
        <f>HYPERLINK("http://www.rncp.cncp.gouv.fr/grand-public/visualisationFiche?format=fr&amp;fiche=15794","15794")</f>
        <v>15794</v>
      </c>
      <c r="D725" s="4" t="str">
        <f>HYPERLINK("http://www.intercariforef.org/formations/certification-80520.html","80520")</f>
        <v>80520</v>
      </c>
      <c r="E725" s="5">
        <v>2640</v>
      </c>
      <c r="F725" s="5" t="s">
        <v>10</v>
      </c>
      <c r="G725" s="5" t="s">
        <v>11</v>
      </c>
      <c r="H725" s="3" t="s">
        <v>40</v>
      </c>
    </row>
    <row r="726" spans="1:8" ht="13.8" x14ac:dyDescent="0.25">
      <c r="A726" s="3" t="s">
        <v>1004</v>
      </c>
      <c r="B726" s="3" t="s">
        <v>1060</v>
      </c>
      <c r="C726" s="4" t="str">
        <f>HYPERLINK("http://www.rncp.cncp.gouv.fr/grand-public/visualisationFiche?format=fr&amp;fiche=6956","6956")</f>
        <v>6956</v>
      </c>
      <c r="D726" s="4" t="str">
        <f>HYPERLINK("http://www.intercariforef.org/formations/certification-63112.html","63112")</f>
        <v>63112</v>
      </c>
      <c r="E726" s="5">
        <v>2642</v>
      </c>
      <c r="F726" s="5" t="s">
        <v>10</v>
      </c>
      <c r="G726" s="5" t="s">
        <v>11</v>
      </c>
      <c r="H726" s="3" t="s">
        <v>1061</v>
      </c>
    </row>
    <row r="727" spans="1:8" ht="13.8" x14ac:dyDescent="0.25">
      <c r="A727" s="3" t="s">
        <v>1004</v>
      </c>
      <c r="B727" s="3" t="s">
        <v>1062</v>
      </c>
      <c r="C727" s="4" t="str">
        <f>HYPERLINK("http://www.rncp.cncp.gouv.fr/grand-public/visualisationFiche?format=fr&amp;fiche=19400","19400")</f>
        <v>19400</v>
      </c>
      <c r="D727" s="4" t="str">
        <f>HYPERLINK("http://www.intercariforef.org/formations/certification-62714.html","62714")</f>
        <v>62714</v>
      </c>
      <c r="E727" s="5">
        <v>2636</v>
      </c>
      <c r="F727" s="5" t="s">
        <v>10</v>
      </c>
      <c r="G727" s="5" t="s">
        <v>11</v>
      </c>
      <c r="H727" s="3" t="s">
        <v>691</v>
      </c>
    </row>
    <row r="728" spans="1:8" ht="13.8" x14ac:dyDescent="0.25">
      <c r="A728" s="3" t="s">
        <v>1004</v>
      </c>
      <c r="B728" s="3" t="s">
        <v>1063</v>
      </c>
      <c r="C728" s="4" t="str">
        <f>HYPERLINK("http://www.rncp.cncp.gouv.fr/grand-public/visualisationFiche?format=fr&amp;fiche=19389","19389")</f>
        <v>19389</v>
      </c>
      <c r="D728" s="4" t="str">
        <f>HYPERLINK("http://www.intercariforef.org/formations/certification-83389.html","83389")</f>
        <v>83389</v>
      </c>
      <c r="E728" s="5">
        <v>2641</v>
      </c>
      <c r="F728" s="5" t="s">
        <v>10</v>
      </c>
      <c r="G728" s="5" t="s">
        <v>11</v>
      </c>
      <c r="H728" s="3" t="s">
        <v>691</v>
      </c>
    </row>
    <row r="729" spans="1:8" ht="13.8" x14ac:dyDescent="0.25">
      <c r="A729" s="3" t="s">
        <v>1004</v>
      </c>
      <c r="B729" s="3" t="s">
        <v>1064</v>
      </c>
      <c r="C729" s="4" t="str">
        <f>HYPERLINK("http://www.rncp.cncp.gouv.fr/grand-public/visualisationFiche?format=fr&amp;fiche=19201","19201")</f>
        <v>19201</v>
      </c>
      <c r="D729" s="4" t="str">
        <f>HYPERLINK("http://www.intercariforef.org/formations/certification-83213.html","83213")</f>
        <v>83213</v>
      </c>
      <c r="E729" s="5">
        <v>16256</v>
      </c>
      <c r="F729" s="5" t="s">
        <v>10</v>
      </c>
      <c r="G729" s="5" t="s">
        <v>11</v>
      </c>
      <c r="H729" s="3" t="s">
        <v>602</v>
      </c>
    </row>
    <row r="730" spans="1:8" ht="13.8" x14ac:dyDescent="0.25">
      <c r="A730" s="3" t="s">
        <v>1004</v>
      </c>
      <c r="B730" s="3" t="s">
        <v>1065</v>
      </c>
      <c r="C730" s="4" t="str">
        <f>HYPERLINK("http://www.rncp.cncp.gouv.fr/grand-public/visualisationFiche?format=fr&amp;fiche=19397","19397")</f>
        <v>19397</v>
      </c>
      <c r="D730" s="4" t="str">
        <f>HYPERLINK("http://www.intercariforef.org/formations/certification-83395.html","83395")</f>
        <v>83395</v>
      </c>
      <c r="E730" s="5">
        <v>2643</v>
      </c>
      <c r="F730" s="5" t="s">
        <v>10</v>
      </c>
      <c r="G730" s="5" t="s">
        <v>11</v>
      </c>
      <c r="H730" s="3" t="s">
        <v>1066</v>
      </c>
    </row>
    <row r="731" spans="1:8" ht="13.8" x14ac:dyDescent="0.25">
      <c r="A731" s="3" t="s">
        <v>1004</v>
      </c>
      <c r="B731" s="3" t="s">
        <v>1067</v>
      </c>
      <c r="C731" s="4" t="str">
        <f>HYPERLINK("http://www.rncp.cncp.gouv.fr/grand-public/visualisationFiche?format=fr&amp;fiche=13668","13668")</f>
        <v>13668</v>
      </c>
      <c r="D731" s="4" t="str">
        <f>HYPERLINK("http://www.intercariforef.org/formations/certification-53196.html","53196")</f>
        <v>53196</v>
      </c>
      <c r="E731" s="5">
        <v>2647</v>
      </c>
      <c r="F731" s="5" t="s">
        <v>10</v>
      </c>
      <c r="G731" s="5" t="s">
        <v>11</v>
      </c>
      <c r="H731" s="3" t="s">
        <v>1068</v>
      </c>
    </row>
    <row r="732" spans="1:8" ht="13.8" x14ac:dyDescent="0.25">
      <c r="A732" s="3" t="s">
        <v>1004</v>
      </c>
      <c r="B732" s="3" t="s">
        <v>1069</v>
      </c>
      <c r="C732" s="4" t="str">
        <f>HYPERLINK("http://www.rncp.cncp.gouv.fr/grand-public/visualisationFiche?format=fr&amp;fiche=23678","23678")</f>
        <v>23678</v>
      </c>
      <c r="D732" s="4" t="str">
        <f>HYPERLINK("http://www.intercariforef.org/formations/certification-78872.html","78872")</f>
        <v>78872</v>
      </c>
      <c r="E732" s="5">
        <v>2653</v>
      </c>
      <c r="F732" s="5" t="s">
        <v>10</v>
      </c>
      <c r="G732" s="5" t="s">
        <v>11</v>
      </c>
      <c r="H732" s="3" t="s">
        <v>1070</v>
      </c>
    </row>
    <row r="733" spans="1:8" ht="13.8" x14ac:dyDescent="0.25">
      <c r="A733" s="3" t="s">
        <v>1004</v>
      </c>
      <c r="B733" s="3" t="s">
        <v>1071</v>
      </c>
      <c r="C733" s="4" t="str">
        <f>HYPERLINK("http://www.rncp.cncp.gouv.fr/grand-public/visualisationFiche?format=fr&amp;fiche=13675","13675")</f>
        <v>13675</v>
      </c>
      <c r="D733" s="4" t="str">
        <f>HYPERLINK("http://www.intercariforef.org/formations/certification-52982.html","52982")</f>
        <v>52982</v>
      </c>
      <c r="E733" s="5">
        <v>16258</v>
      </c>
      <c r="F733" s="5" t="s">
        <v>10</v>
      </c>
      <c r="G733" s="5" t="s">
        <v>11</v>
      </c>
      <c r="H733" s="3" t="s">
        <v>1072</v>
      </c>
    </row>
    <row r="734" spans="1:8" ht="13.8" x14ac:dyDescent="0.25">
      <c r="A734" s="3" t="s">
        <v>1004</v>
      </c>
      <c r="B734" s="3" t="s">
        <v>1073</v>
      </c>
      <c r="C734" s="4" t="str">
        <f>HYPERLINK("http://www.rncp.cncp.gouv.fr/grand-public/visualisationFiche?format=fr&amp;fiche=23826","23826")</f>
        <v>23826</v>
      </c>
      <c r="D734" s="4" t="str">
        <f>HYPERLINK("http://www.intercariforef.org/formations/certification-31150.html","31150")</f>
        <v>31150</v>
      </c>
      <c r="E734" s="5">
        <v>17521</v>
      </c>
      <c r="F734" s="5" t="s">
        <v>10</v>
      </c>
      <c r="G734" s="5" t="s">
        <v>11</v>
      </c>
      <c r="H734" s="3" t="s">
        <v>1074</v>
      </c>
    </row>
    <row r="735" spans="1:8" ht="13.8" x14ac:dyDescent="0.25">
      <c r="A735" s="3" t="s">
        <v>1004</v>
      </c>
      <c r="B735" s="3" t="s">
        <v>1075</v>
      </c>
      <c r="C735" s="4" t="str">
        <f>HYPERLINK("http://www.rncp.cncp.gouv.fr/grand-public/visualisationFiche?format=fr&amp;fiche=15253","15253")</f>
        <v>15253</v>
      </c>
      <c r="D735" s="4" t="str">
        <f>HYPERLINK("http://www.intercariforef.org/formations/certification-52840.html","52840")</f>
        <v>52840</v>
      </c>
      <c r="E735" s="5">
        <v>8717</v>
      </c>
      <c r="F735" s="5" t="s">
        <v>10</v>
      </c>
      <c r="G735" s="5" t="s">
        <v>11</v>
      </c>
      <c r="H735" s="3" t="s">
        <v>34</v>
      </c>
    </row>
    <row r="736" spans="1:8" ht="27.6" x14ac:dyDescent="0.25">
      <c r="A736" s="3" t="s">
        <v>1004</v>
      </c>
      <c r="B736" s="3" t="s">
        <v>1076</v>
      </c>
      <c r="C736" s="4" t="str">
        <f>HYPERLINK("http://www.rncp.cncp.gouv.fr/grand-public/visualisationFiche?format=fr&amp;fiche=22093","22093")</f>
        <v>22093</v>
      </c>
      <c r="D736" s="4" t="str">
        <f>HYPERLINK("http://www.intercariforef.org/formations/certification-62718.html","62718")</f>
        <v>62718</v>
      </c>
      <c r="E736" s="5">
        <v>16265</v>
      </c>
      <c r="F736" s="5" t="s">
        <v>10</v>
      </c>
      <c r="G736" s="5" t="s">
        <v>11</v>
      </c>
      <c r="H736" s="3" t="s">
        <v>1077</v>
      </c>
    </row>
    <row r="737" spans="1:8" ht="13.8" x14ac:dyDescent="0.25">
      <c r="A737" s="3" t="s">
        <v>1004</v>
      </c>
      <c r="B737" s="3" t="s">
        <v>1078</v>
      </c>
      <c r="C737" s="4" t="str">
        <f>HYPERLINK("http://www.rncp.cncp.gouv.fr/grand-public/visualisationFiche?format=fr&amp;fiche=18309","18309")</f>
        <v>18309</v>
      </c>
      <c r="D737" s="4" t="str">
        <f>HYPERLINK("http://www.intercariforef.org/formations/certification-82599.html","82599")</f>
        <v>82599</v>
      </c>
      <c r="E737" s="5">
        <v>2648</v>
      </c>
      <c r="F737" s="5" t="s">
        <v>10</v>
      </c>
      <c r="G737" s="5" t="s">
        <v>11</v>
      </c>
      <c r="H737" s="3" t="s">
        <v>1079</v>
      </c>
    </row>
    <row r="738" spans="1:8" ht="13.8" x14ac:dyDescent="0.25">
      <c r="A738" s="3" t="s">
        <v>1004</v>
      </c>
      <c r="B738" s="3" t="s">
        <v>1080</v>
      </c>
      <c r="C738" s="4" t="str">
        <f>HYPERLINK("http://www.rncp.cncp.gouv.fr/grand-public/visualisationFiche?format=fr&amp;fiche=17222","17222")</f>
        <v>17222</v>
      </c>
      <c r="D738" s="4" t="str">
        <f>HYPERLINK("http://www.intercariforef.org/formations/certification-81549.html","81549")</f>
        <v>81549</v>
      </c>
      <c r="E738" s="5">
        <v>144826</v>
      </c>
      <c r="F738" s="5" t="s">
        <v>10</v>
      </c>
      <c r="G738" s="5" t="s">
        <v>11</v>
      </c>
      <c r="H738" s="3" t="s">
        <v>1081</v>
      </c>
    </row>
    <row r="739" spans="1:8" ht="13.8" x14ac:dyDescent="0.25">
      <c r="A739" s="3" t="s">
        <v>1004</v>
      </c>
      <c r="B739" s="3" t="s">
        <v>1082</v>
      </c>
      <c r="C739" s="4" t="str">
        <f>HYPERLINK("http://www.rncp.cncp.gouv.fr/grand-public/visualisationFiche?format=fr&amp;fiche=1319","1319")</f>
        <v>1319</v>
      </c>
      <c r="D739" s="4" t="str">
        <f>HYPERLINK("http://www.intercariforef.org/formations/certification-31156.html","31156")</f>
        <v>31156</v>
      </c>
      <c r="E739" s="5">
        <v>2646</v>
      </c>
      <c r="F739" s="5" t="s">
        <v>10</v>
      </c>
      <c r="G739" s="5" t="s">
        <v>11</v>
      </c>
      <c r="H739" s="3" t="s">
        <v>683</v>
      </c>
    </row>
    <row r="740" spans="1:8" ht="13.8" x14ac:dyDescent="0.25">
      <c r="A740" s="3" t="s">
        <v>1004</v>
      </c>
      <c r="B740" s="3" t="s">
        <v>1083</v>
      </c>
      <c r="C740" s="4" t="str">
        <f>HYPERLINK("http://www.rncp.cncp.gouv.fr/grand-public/visualisationFiche?format=fr&amp;fiche=22099","22099")</f>
        <v>22099</v>
      </c>
      <c r="D740" s="4" t="str">
        <f>HYPERLINK("http://www.intercariforef.org/formations/certification-69909.html","69909")</f>
        <v>69909</v>
      </c>
      <c r="E740" s="5">
        <v>2651</v>
      </c>
      <c r="F740" s="5" t="s">
        <v>10</v>
      </c>
      <c r="G740" s="5" t="s">
        <v>11</v>
      </c>
      <c r="H740" s="3" t="s">
        <v>1084</v>
      </c>
    </row>
    <row r="741" spans="1:8" ht="13.8" x14ac:dyDescent="0.25">
      <c r="A741" s="3" t="s">
        <v>1004</v>
      </c>
      <c r="B741" s="3" t="s">
        <v>1085</v>
      </c>
      <c r="C741" s="4" t="str">
        <f>HYPERLINK("http://www.rncp.cncp.gouv.fr/grand-public/visualisationFiche?format=fr&amp;fiche=18310","18310")</f>
        <v>18310</v>
      </c>
      <c r="D741" s="4" t="str">
        <f>HYPERLINK("http://www.intercariforef.org/formations/certification-82600.html","82600")</f>
        <v>82600</v>
      </c>
      <c r="E741" s="5">
        <v>2650</v>
      </c>
      <c r="F741" s="5" t="s">
        <v>10</v>
      </c>
      <c r="G741" s="5" t="s">
        <v>11</v>
      </c>
      <c r="H741" s="3" t="s">
        <v>1079</v>
      </c>
    </row>
    <row r="742" spans="1:8" ht="13.8" x14ac:dyDescent="0.25">
      <c r="A742" s="3" t="s">
        <v>1004</v>
      </c>
      <c r="B742" s="3" t="s">
        <v>1086</v>
      </c>
      <c r="C742" s="4" t="str">
        <f>HYPERLINK("http://www.rncp.cncp.gouv.fr/grand-public/visualisationFiche?format=fr&amp;fiche=16894","16894")</f>
        <v>16894</v>
      </c>
      <c r="D742" s="4" t="str">
        <f>HYPERLINK("http://www.intercariforef.org/formations/certification-81353.html","81353")</f>
        <v>81353</v>
      </c>
      <c r="E742" s="5">
        <v>8719</v>
      </c>
      <c r="F742" s="5" t="s">
        <v>10</v>
      </c>
      <c r="G742" s="5" t="s">
        <v>11</v>
      </c>
      <c r="H742" s="3" t="s">
        <v>1010</v>
      </c>
    </row>
    <row r="743" spans="1:8" ht="13.8" x14ac:dyDescent="0.25">
      <c r="A743" s="3" t="s">
        <v>1004</v>
      </c>
      <c r="B743" s="3" t="s">
        <v>1087</v>
      </c>
      <c r="C743" s="4" t="str">
        <f>HYPERLINK("http://www.rncp.cncp.gouv.fr/grand-public/visualisationFiche?format=fr&amp;fiche=6080","6080")</f>
        <v>6080</v>
      </c>
      <c r="D743" s="4" t="str">
        <f>HYPERLINK("http://www.intercariforef.org/formations/certification-59658.html","59658")</f>
        <v>59658</v>
      </c>
      <c r="E743" s="5">
        <v>9116</v>
      </c>
      <c r="F743" s="5" t="s">
        <v>10</v>
      </c>
      <c r="G743" s="5" t="s">
        <v>11</v>
      </c>
      <c r="H743" s="3" t="s">
        <v>1088</v>
      </c>
    </row>
    <row r="744" spans="1:8" ht="13.8" x14ac:dyDescent="0.25">
      <c r="A744" s="3" t="s">
        <v>1004</v>
      </c>
      <c r="B744" s="3" t="s">
        <v>1089</v>
      </c>
      <c r="C744" s="4" t="str">
        <f>HYPERLINK("http://www.rncp.cncp.gouv.fr/grand-public/visualisationFiche?format=fr&amp;fiche=19402","19402")</f>
        <v>19402</v>
      </c>
      <c r="D744" s="4" t="str">
        <f>HYPERLINK("http://www.intercariforef.org/formations/certification-83397.html","83397")</f>
        <v>83397</v>
      </c>
      <c r="E744" s="5">
        <v>2649</v>
      </c>
      <c r="F744" s="5" t="s">
        <v>10</v>
      </c>
      <c r="G744" s="5" t="s">
        <v>11</v>
      </c>
      <c r="H744" s="3" t="s">
        <v>695</v>
      </c>
    </row>
    <row r="745" spans="1:8" ht="27.6" x14ac:dyDescent="0.25">
      <c r="A745" s="3" t="s">
        <v>1004</v>
      </c>
      <c r="B745" s="3" t="s">
        <v>1090</v>
      </c>
      <c r="C745" s="4" t="str">
        <f>HYPERLINK("http://www.rncp.cncp.gouv.fr/grand-public/visualisationFiche?format=fr&amp;fiche=16893","16893")</f>
        <v>16893</v>
      </c>
      <c r="D745" s="4" t="str">
        <f>HYPERLINK("http://www.intercariforef.org/formations/certification-58071.html","58071")</f>
        <v>58071</v>
      </c>
      <c r="E745" s="5">
        <v>16257</v>
      </c>
      <c r="F745" s="5" t="s">
        <v>10</v>
      </c>
      <c r="G745" s="5" t="s">
        <v>11</v>
      </c>
      <c r="H745" s="3" t="s">
        <v>1091</v>
      </c>
    </row>
    <row r="746" spans="1:8" ht="13.8" x14ac:dyDescent="0.25">
      <c r="A746" s="3" t="s">
        <v>1004</v>
      </c>
      <c r="B746" s="3" t="s">
        <v>1092</v>
      </c>
      <c r="C746" s="4" t="str">
        <f>HYPERLINK("http://www.rncp.cncp.gouv.fr/grand-public/visualisationFiche?format=fr&amp;fiche=19206","19206")</f>
        <v>19206</v>
      </c>
      <c r="D746" s="4" t="str">
        <f>HYPERLINK("http://www.intercariforef.org/formations/certification-83217.html","83217")</f>
        <v>83217</v>
      </c>
      <c r="E746" s="5">
        <v>2652</v>
      </c>
      <c r="F746" s="5" t="s">
        <v>10</v>
      </c>
      <c r="G746" s="5" t="s">
        <v>11</v>
      </c>
      <c r="H746" s="3" t="s">
        <v>1093</v>
      </c>
    </row>
    <row r="747" spans="1:8" ht="13.8" x14ac:dyDescent="0.25">
      <c r="A747" s="3" t="s">
        <v>1004</v>
      </c>
      <c r="B747" s="3" t="s">
        <v>1094</v>
      </c>
      <c r="C747" s="4" t="str">
        <f>HYPERLINK("http://www.rncp.cncp.gouv.fr/grand-public/visualisationFiche?format=fr&amp;fiche=15249","15249")</f>
        <v>15249</v>
      </c>
      <c r="D747" s="4" t="str">
        <f>HYPERLINK("http://www.intercariforef.org/formations/certification-79018.html","79018")</f>
        <v>79018</v>
      </c>
      <c r="E747" s="5">
        <v>2654</v>
      </c>
      <c r="F747" s="5" t="s">
        <v>10</v>
      </c>
      <c r="G747" s="5" t="s">
        <v>11</v>
      </c>
      <c r="H747" s="3" t="s">
        <v>1095</v>
      </c>
    </row>
    <row r="748" spans="1:8" ht="13.8" x14ac:dyDescent="0.25">
      <c r="A748" s="3" t="s">
        <v>1004</v>
      </c>
      <c r="B748" s="3" t="s">
        <v>1096</v>
      </c>
      <c r="C748" s="4" t="str">
        <f>HYPERLINK("http://www.rncp.cncp.gouv.fr/grand-public/visualisationFiche?format=fr&amp;fiche=11651","11651")</f>
        <v>11651</v>
      </c>
      <c r="D748" s="4" t="str">
        <f>HYPERLINK("http://www.intercariforef.org/formations/certification-72725.html","72725")</f>
        <v>72725</v>
      </c>
      <c r="E748" s="5">
        <v>2929</v>
      </c>
      <c r="F748" s="5" t="s">
        <v>10</v>
      </c>
      <c r="G748" s="5" t="s">
        <v>11</v>
      </c>
      <c r="H748" s="3" t="s">
        <v>1097</v>
      </c>
    </row>
    <row r="749" spans="1:8" ht="13.8" x14ac:dyDescent="0.25">
      <c r="A749" s="3" t="s">
        <v>1004</v>
      </c>
      <c r="B749" s="3" t="s">
        <v>1098</v>
      </c>
      <c r="C749" s="4" t="str">
        <f>HYPERLINK("http://www.rncp.cncp.gouv.fr/grand-public/visualisationFiche?format=fr&amp;fiche=15790","15790")</f>
        <v>15790</v>
      </c>
      <c r="D749" s="4" t="str">
        <f>HYPERLINK("http://www.intercariforef.org/formations/certification-80515.html","80515")</f>
        <v>80515</v>
      </c>
      <c r="E749" s="5">
        <v>131670</v>
      </c>
      <c r="F749" s="5" t="s">
        <v>10</v>
      </c>
      <c r="G749" s="5" t="s">
        <v>11</v>
      </c>
      <c r="H749" s="3" t="s">
        <v>1099</v>
      </c>
    </row>
    <row r="750" spans="1:8" ht="13.8" x14ac:dyDescent="0.25">
      <c r="A750" s="3" t="s">
        <v>1004</v>
      </c>
      <c r="B750" s="3" t="s">
        <v>1100</v>
      </c>
      <c r="C750" s="4" t="str">
        <f>HYPERLINK("http://www.rncp.cncp.gouv.fr/grand-public/visualisationFiche?format=fr&amp;fiche=16997","16997")</f>
        <v>16997</v>
      </c>
      <c r="D750" s="4" t="str">
        <f>HYPERLINK("http://www.intercariforef.org/formations/certification-81347.html","81347")</f>
        <v>81347</v>
      </c>
      <c r="E750" s="5">
        <v>161367</v>
      </c>
      <c r="F750" s="5" t="s">
        <v>10</v>
      </c>
      <c r="G750" s="5" t="s">
        <v>11</v>
      </c>
      <c r="H750" s="3" t="s">
        <v>1101</v>
      </c>
    </row>
    <row r="751" spans="1:8" ht="27.6" x14ac:dyDescent="0.25">
      <c r="A751" s="3" t="s">
        <v>1004</v>
      </c>
      <c r="B751" s="3" t="s">
        <v>1102</v>
      </c>
      <c r="C751" s="4" t="str">
        <f>HYPERLINK("http://www.rncp.cncp.gouv.fr/grand-public/visualisationFiche?format=fr&amp;fiche=13716","13716")</f>
        <v>13716</v>
      </c>
      <c r="D751" s="4" t="str">
        <f>HYPERLINK("http://www.intercariforef.org/formations/certification-54949.html","54949")</f>
        <v>54949</v>
      </c>
      <c r="E751" s="5">
        <v>2953</v>
      </c>
      <c r="F751" s="5" t="s">
        <v>10</v>
      </c>
      <c r="G751" s="5" t="s">
        <v>11</v>
      </c>
      <c r="H751" s="3" t="s">
        <v>1103</v>
      </c>
    </row>
    <row r="752" spans="1:8" ht="13.8" x14ac:dyDescent="0.25">
      <c r="A752" s="3" t="s">
        <v>1004</v>
      </c>
      <c r="B752" s="3" t="s">
        <v>1104</v>
      </c>
      <c r="C752" s="4" t="str">
        <f>HYPERLINK("http://www.rncp.cncp.gouv.fr/grand-public/visualisationFiche?format=fr&amp;fiche=14588","14588")</f>
        <v>14588</v>
      </c>
      <c r="D752" s="4" t="str">
        <f>HYPERLINK("http://www.intercariforef.org/formations/certification-77543.html","77543")</f>
        <v>77543</v>
      </c>
      <c r="E752" s="5">
        <v>2954</v>
      </c>
      <c r="F752" s="5" t="s">
        <v>10</v>
      </c>
      <c r="G752" s="5" t="s">
        <v>11</v>
      </c>
      <c r="H752" s="3" t="s">
        <v>1105</v>
      </c>
    </row>
    <row r="753" spans="1:8" ht="27.6" x14ac:dyDescent="0.25">
      <c r="A753" s="3" t="s">
        <v>1004</v>
      </c>
      <c r="B753" s="3" t="s">
        <v>1106</v>
      </c>
      <c r="C753" s="4" t="str">
        <f>HYPERLINK("http://www.rncp.cncp.gouv.fr/grand-public/visualisationFiche?format=fr&amp;fiche=17831","17831")</f>
        <v>17831</v>
      </c>
      <c r="D753" s="4" t="str">
        <f>HYPERLINK("http://www.intercariforef.org/formations/certification-37494.html","37494")</f>
        <v>37494</v>
      </c>
      <c r="E753" s="5">
        <v>2955</v>
      </c>
      <c r="F753" s="5" t="s">
        <v>10</v>
      </c>
      <c r="G753" s="5" t="s">
        <v>11</v>
      </c>
      <c r="H753" s="3" t="s">
        <v>685</v>
      </c>
    </row>
    <row r="754" spans="1:8" ht="13.8" x14ac:dyDescent="0.25">
      <c r="A754" s="3" t="s">
        <v>1004</v>
      </c>
      <c r="B754" s="3" t="s">
        <v>1107</v>
      </c>
      <c r="C754" s="4" t="str">
        <f>HYPERLINK("http://www.rncp.cncp.gouv.fr/grand-public/visualisationFiche?format=fr&amp;fiche=11514","11514")</f>
        <v>11514</v>
      </c>
      <c r="D754" s="4" t="str">
        <f>HYPERLINK("http://www.intercariforef.org/formations/certification-72726.html","72726")</f>
        <v>72726</v>
      </c>
      <c r="E754" s="5">
        <v>16290</v>
      </c>
      <c r="F754" s="5" t="s">
        <v>10</v>
      </c>
      <c r="G754" s="5" t="s">
        <v>11</v>
      </c>
      <c r="H754" s="3" t="s">
        <v>1108</v>
      </c>
    </row>
    <row r="755" spans="1:8" ht="13.8" x14ac:dyDescent="0.25">
      <c r="A755" s="3" t="s">
        <v>1004</v>
      </c>
      <c r="B755" s="3" t="s">
        <v>1109</v>
      </c>
      <c r="C755" s="4" t="str">
        <f>HYPERLINK("http://www.rncp.cncp.gouv.fr/grand-public/visualisationFiche?format=fr&amp;fiche=14724","14724")</f>
        <v>14724</v>
      </c>
      <c r="D755" s="4" t="str">
        <f>HYPERLINK("http://www.intercariforef.org/formations/certification-77545.html","77545")</f>
        <v>77545</v>
      </c>
      <c r="E755" s="5">
        <v>16293</v>
      </c>
      <c r="F755" s="5" t="s">
        <v>10</v>
      </c>
      <c r="G755" s="5" t="s">
        <v>11</v>
      </c>
      <c r="H755" s="3" t="s">
        <v>1110</v>
      </c>
    </row>
    <row r="756" spans="1:8" ht="13.8" x14ac:dyDescent="0.25">
      <c r="A756" s="3" t="s">
        <v>1004</v>
      </c>
      <c r="B756" s="3" t="s">
        <v>1111</v>
      </c>
      <c r="C756" s="4" t="str">
        <f>HYPERLINK("http://www.rncp.cncp.gouv.fr/grand-public/visualisationFiche?format=fr&amp;fiche=12992","12992")</f>
        <v>12992</v>
      </c>
      <c r="D756" s="4" t="str">
        <f>HYPERLINK("http://www.intercariforef.org/formations/certification-76239.html","76239")</f>
        <v>76239</v>
      </c>
      <c r="E756" s="5">
        <v>16298</v>
      </c>
      <c r="F756" s="5" t="s">
        <v>10</v>
      </c>
      <c r="G756" s="5" t="s">
        <v>11</v>
      </c>
      <c r="H756" s="3" t="s">
        <v>1112</v>
      </c>
    </row>
    <row r="757" spans="1:8" ht="13.8" x14ac:dyDescent="0.25">
      <c r="A757" s="3" t="s">
        <v>1004</v>
      </c>
      <c r="B757" s="3" t="s">
        <v>1113</v>
      </c>
      <c r="C757" s="4" t="str">
        <f>HYPERLINK("http://www.rncp.cncp.gouv.fr/grand-public/visualisationFiche?format=fr&amp;fiche=12336","12336")</f>
        <v>12336</v>
      </c>
      <c r="D757" s="4" t="str">
        <f>HYPERLINK("http://www.intercariforef.org/formations/certification-74839.html","74839")</f>
        <v>74839</v>
      </c>
      <c r="E757" s="5">
        <v>16291</v>
      </c>
      <c r="F757" s="5" t="s">
        <v>10</v>
      </c>
      <c r="G757" s="5" t="s">
        <v>11</v>
      </c>
      <c r="H757" s="3" t="s">
        <v>1088</v>
      </c>
    </row>
    <row r="758" spans="1:8" ht="27.6" x14ac:dyDescent="0.25">
      <c r="A758" s="3" t="s">
        <v>1004</v>
      </c>
      <c r="B758" s="3" t="s">
        <v>1114</v>
      </c>
      <c r="C758" s="4" t="str">
        <f>HYPERLINK("http://www.rncp.cncp.gouv.fr/grand-public/visualisationFiche?format=fr&amp;fiche=21946","21946")</f>
        <v>21946</v>
      </c>
      <c r="D758" s="4" t="str">
        <f>HYPERLINK("http://www.intercariforef.org/formations/certification-76998.html","76998")</f>
        <v>76998</v>
      </c>
      <c r="E758" s="5">
        <v>16292</v>
      </c>
      <c r="F758" s="5" t="s">
        <v>10</v>
      </c>
      <c r="G758" s="5" t="s">
        <v>11</v>
      </c>
      <c r="H758" s="3" t="s">
        <v>1115</v>
      </c>
    </row>
    <row r="759" spans="1:8" ht="13.8" x14ac:dyDescent="0.25">
      <c r="A759" s="3" t="s">
        <v>1004</v>
      </c>
      <c r="B759" s="3" t="s">
        <v>1116</v>
      </c>
      <c r="C759" s="4" t="str">
        <f>HYPERLINK("http://www.rncp.cncp.gouv.fr/grand-public/visualisationFiche?format=fr&amp;fiche=13708","13708")</f>
        <v>13708</v>
      </c>
      <c r="D759" s="4" t="str">
        <f>HYPERLINK("http://www.intercariforef.org/formations/certification-77005.html","77005")</f>
        <v>77005</v>
      </c>
      <c r="E759" s="5">
        <v>2960</v>
      </c>
      <c r="F759" s="5" t="s">
        <v>10</v>
      </c>
      <c r="G759" s="5" t="s">
        <v>11</v>
      </c>
      <c r="H759" s="3" t="s">
        <v>1117</v>
      </c>
    </row>
    <row r="760" spans="1:8" ht="27.6" x14ac:dyDescent="0.25">
      <c r="A760" s="3" t="s">
        <v>1004</v>
      </c>
      <c r="B760" s="3" t="s">
        <v>1118</v>
      </c>
      <c r="C760" s="4" t="str">
        <f>HYPERLINK("http://www.rncp.cncp.gouv.fr/grand-public/visualisationFiche?format=fr&amp;fiche=16246","16246")</f>
        <v>16246</v>
      </c>
      <c r="D760" s="4" t="str">
        <f>HYPERLINK("http://www.intercariforef.org/formations/certification-80796.html","80796")</f>
        <v>80796</v>
      </c>
      <c r="E760" s="5">
        <v>2959</v>
      </c>
      <c r="F760" s="5" t="s">
        <v>10</v>
      </c>
      <c r="G760" s="5" t="s">
        <v>11</v>
      </c>
      <c r="H760" s="3" t="s">
        <v>1119</v>
      </c>
    </row>
    <row r="761" spans="1:8" ht="27.6" x14ac:dyDescent="0.25">
      <c r="A761" s="3" t="s">
        <v>1004</v>
      </c>
      <c r="B761" s="3" t="s">
        <v>1120</v>
      </c>
      <c r="C761" s="4" t="str">
        <f>HYPERLINK("http://www.rncp.cncp.gouv.fr/grand-public/visualisationFiche?format=fr&amp;fiche=4910","4910")</f>
        <v>4910</v>
      </c>
      <c r="D761" s="4" t="str">
        <f>HYPERLINK("http://www.intercariforef.org/formations/certification-55876.html","55876")</f>
        <v>55876</v>
      </c>
      <c r="E761" s="5">
        <v>161369</v>
      </c>
      <c r="F761" s="5" t="s">
        <v>10</v>
      </c>
      <c r="G761" s="5" t="s">
        <v>11</v>
      </c>
      <c r="H761" s="3" t="s">
        <v>1121</v>
      </c>
    </row>
    <row r="762" spans="1:8" ht="27.6" x14ac:dyDescent="0.25">
      <c r="A762" s="3" t="s">
        <v>1004</v>
      </c>
      <c r="B762" s="3" t="s">
        <v>1122</v>
      </c>
      <c r="C762" s="4" t="str">
        <f>HYPERLINK("http://www.rncp.cncp.gouv.fr/grand-public/visualisationFiche?format=fr&amp;fiche=4911","4911")</f>
        <v>4911</v>
      </c>
      <c r="D762" s="4" t="str">
        <f>HYPERLINK("http://www.intercariforef.org/formations/certification-55122.html","55122")</f>
        <v>55122</v>
      </c>
      <c r="E762" s="5">
        <v>144829</v>
      </c>
      <c r="F762" s="5" t="s">
        <v>10</v>
      </c>
      <c r="G762" s="5" t="s">
        <v>11</v>
      </c>
      <c r="H762" s="3" t="s">
        <v>1121</v>
      </c>
    </row>
    <row r="763" spans="1:8" ht="27.6" x14ac:dyDescent="0.25">
      <c r="A763" s="3" t="s">
        <v>1004</v>
      </c>
      <c r="B763" s="3" t="s">
        <v>1123</v>
      </c>
      <c r="C763" s="4" t="str">
        <f>HYPERLINK("http://www.rncp.cncp.gouv.fr/grand-public/visualisationFiche?format=fr&amp;fiche=15254","15254")</f>
        <v>15254</v>
      </c>
      <c r="D763" s="4" t="str">
        <f>HYPERLINK("http://www.intercariforef.org/formations/certification-79000.html","79000")</f>
        <v>79000</v>
      </c>
      <c r="E763" s="5">
        <v>9118</v>
      </c>
      <c r="F763" s="5" t="s">
        <v>10</v>
      </c>
      <c r="G763" s="5" t="s">
        <v>11</v>
      </c>
      <c r="H763" s="3" t="s">
        <v>1124</v>
      </c>
    </row>
    <row r="764" spans="1:8" ht="13.8" x14ac:dyDescent="0.25">
      <c r="A764" s="3" t="s">
        <v>1004</v>
      </c>
      <c r="B764" s="3" t="s">
        <v>1125</v>
      </c>
      <c r="C764" s="4" t="str">
        <f>HYPERLINK("http://www.rncp.cncp.gouv.fr/grand-public/visualisationFiche?format=fr&amp;fiche=15364","15364")</f>
        <v>15364</v>
      </c>
      <c r="D764" s="4" t="str">
        <f>HYPERLINK("http://www.intercariforef.org/formations/certification-78997.html","78997")</f>
        <v>78997</v>
      </c>
      <c r="E764" s="5">
        <v>9120</v>
      </c>
      <c r="F764" s="5" t="s">
        <v>10</v>
      </c>
      <c r="G764" s="5" t="s">
        <v>11</v>
      </c>
      <c r="H764" s="3" t="s">
        <v>1066</v>
      </c>
    </row>
    <row r="765" spans="1:8" ht="13.8" x14ac:dyDescent="0.25">
      <c r="A765" s="3" t="s">
        <v>1004</v>
      </c>
      <c r="B765" s="3" t="s">
        <v>1126</v>
      </c>
      <c r="C765" s="5"/>
      <c r="D765" s="4" t="str">
        <f>HYPERLINK("http://www.intercariforef.org/formations/certification-64651.html","64651")</f>
        <v>64651</v>
      </c>
      <c r="E765" s="5">
        <v>9122</v>
      </c>
      <c r="F765" s="5" t="s">
        <v>10</v>
      </c>
      <c r="G765" s="5" t="s">
        <v>11</v>
      </c>
      <c r="H765" s="3" t="s">
        <v>1127</v>
      </c>
    </row>
    <row r="766" spans="1:8" ht="13.8" x14ac:dyDescent="0.25">
      <c r="A766" s="3" t="s">
        <v>1004</v>
      </c>
      <c r="B766" s="3" t="s">
        <v>1128</v>
      </c>
      <c r="C766" s="5"/>
      <c r="D766" s="4" t="str">
        <f>HYPERLINK("http://www.intercariforef.org/formations/certification-82976.html","82976")</f>
        <v>82976</v>
      </c>
      <c r="E766" s="5">
        <v>131671</v>
      </c>
      <c r="F766" s="5" t="s">
        <v>10</v>
      </c>
      <c r="G766" s="5" t="s">
        <v>11</v>
      </c>
      <c r="H766" s="3" t="s">
        <v>25</v>
      </c>
    </row>
    <row r="767" spans="1:8" ht="13.8" x14ac:dyDescent="0.25">
      <c r="A767" s="3" t="s">
        <v>1004</v>
      </c>
      <c r="B767" s="3" t="s">
        <v>1129</v>
      </c>
      <c r="C767" s="4" t="str">
        <f>HYPERLINK("http://www.rncp.cncp.gouv.fr/grand-public/visualisationFiche?format=fr&amp;fiche=4875","4875")</f>
        <v>4875</v>
      </c>
      <c r="D767" s="4" t="str">
        <f>HYPERLINK("http://www.intercariforef.org/formations/certification-53249.html","53249")</f>
        <v>53249</v>
      </c>
      <c r="E767" s="5">
        <v>2964</v>
      </c>
      <c r="F767" s="5" t="s">
        <v>10</v>
      </c>
      <c r="G767" s="5" t="s">
        <v>11</v>
      </c>
      <c r="H767" s="3" t="s">
        <v>81</v>
      </c>
    </row>
    <row r="768" spans="1:8" ht="13.8" x14ac:dyDescent="0.25">
      <c r="A768" s="3" t="s">
        <v>1004</v>
      </c>
      <c r="B768" s="3" t="s">
        <v>1130</v>
      </c>
      <c r="C768" s="4" t="str">
        <f>HYPERLINK("http://www.rncp.cncp.gouv.fr/grand-public/visualisationFiche?format=fr&amp;fiche=15402","15402")</f>
        <v>15402</v>
      </c>
      <c r="D768" s="4" t="str">
        <f>HYPERLINK("http://www.intercariforef.org/formations/certification-74944.html","74944")</f>
        <v>74944</v>
      </c>
      <c r="E768" s="5">
        <v>9130</v>
      </c>
      <c r="F768" s="5" t="s">
        <v>10</v>
      </c>
      <c r="G768" s="5" t="s">
        <v>11</v>
      </c>
      <c r="H768" s="3" t="s">
        <v>1131</v>
      </c>
    </row>
    <row r="769" spans="1:8" ht="27.6" x14ac:dyDescent="0.25">
      <c r="A769" s="3" t="s">
        <v>1004</v>
      </c>
      <c r="B769" s="3" t="s">
        <v>1132</v>
      </c>
      <c r="C769" s="4" t="str">
        <f>HYPERLINK("http://www.rncp.cncp.gouv.fr/grand-public/visualisationFiche?format=fr&amp;fiche=14216","14216")</f>
        <v>14216</v>
      </c>
      <c r="D769" s="4" t="str">
        <f>HYPERLINK("http://www.intercariforef.org/formations/certification-52541.html","52541")</f>
        <v>52541</v>
      </c>
      <c r="E769" s="5">
        <v>2965</v>
      </c>
      <c r="F769" s="5" t="s">
        <v>10</v>
      </c>
      <c r="G769" s="5" t="s">
        <v>11</v>
      </c>
      <c r="H769" s="3" t="s">
        <v>1133</v>
      </c>
    </row>
    <row r="770" spans="1:8" ht="27.6" x14ac:dyDescent="0.25">
      <c r="A770" s="3" t="s">
        <v>1004</v>
      </c>
      <c r="B770" s="3" t="s">
        <v>1134</v>
      </c>
      <c r="C770" s="4" t="str">
        <f>HYPERLINK("http://www.rncp.cncp.gouv.fr/grand-public/visualisationFiche?format=fr&amp;fiche=16742","16742")</f>
        <v>16742</v>
      </c>
      <c r="D770" s="4" t="str">
        <f>HYPERLINK("http://www.intercariforef.org/formations/certification-48254.html","48254")</f>
        <v>48254</v>
      </c>
      <c r="E770" s="5">
        <v>9200</v>
      </c>
      <c r="F770" s="5" t="s">
        <v>10</v>
      </c>
      <c r="G770" s="5" t="s">
        <v>11</v>
      </c>
      <c r="H770" s="3" t="s">
        <v>1135</v>
      </c>
    </row>
    <row r="771" spans="1:8" ht="27.6" x14ac:dyDescent="0.25">
      <c r="A771" s="3" t="s">
        <v>1004</v>
      </c>
      <c r="B771" s="3" t="s">
        <v>1136</v>
      </c>
      <c r="C771" s="4" t="str">
        <f>HYPERLINK("http://www.rncp.cncp.gouv.fr/grand-public/visualisationFiche?format=fr&amp;fiche=17010","17010")</f>
        <v>17010</v>
      </c>
      <c r="D771" s="4" t="str">
        <f>HYPERLINK("http://www.intercariforef.org/formations/certification-59705.html","59705")</f>
        <v>59705</v>
      </c>
      <c r="E771" s="5">
        <v>9145</v>
      </c>
      <c r="F771" s="5" t="s">
        <v>10</v>
      </c>
      <c r="G771" s="5" t="s">
        <v>11</v>
      </c>
      <c r="H771" s="3" t="s">
        <v>1137</v>
      </c>
    </row>
    <row r="772" spans="1:8" ht="27.6" x14ac:dyDescent="0.25">
      <c r="A772" s="3" t="s">
        <v>1004</v>
      </c>
      <c r="B772" s="3" t="s">
        <v>1138</v>
      </c>
      <c r="C772" s="4" t="str">
        <f>HYPERLINK("http://www.rncp.cncp.gouv.fr/grand-public/visualisationFiche?format=fr&amp;fiche=15892","15892")</f>
        <v>15892</v>
      </c>
      <c r="D772" s="4" t="str">
        <f>HYPERLINK("http://www.intercariforef.org/formations/certification-63298.html","63298")</f>
        <v>63298</v>
      </c>
      <c r="E772" s="5">
        <v>9142</v>
      </c>
      <c r="F772" s="5" t="s">
        <v>10</v>
      </c>
      <c r="G772" s="5" t="s">
        <v>11</v>
      </c>
      <c r="H772" s="3" t="s">
        <v>1139</v>
      </c>
    </row>
    <row r="773" spans="1:8" ht="13.8" x14ac:dyDescent="0.25">
      <c r="A773" s="3" t="s">
        <v>1004</v>
      </c>
      <c r="B773" s="3" t="s">
        <v>1140</v>
      </c>
      <c r="C773" s="4" t="str">
        <f>HYPERLINK("http://www.rncp.cncp.gouv.fr/grand-public/visualisationFiche?format=fr&amp;fiche=16902","16902")</f>
        <v>16902</v>
      </c>
      <c r="D773" s="4" t="str">
        <f>HYPERLINK("http://www.intercariforef.org/formations/certification-49835.html","49835")</f>
        <v>49835</v>
      </c>
      <c r="E773" s="5">
        <v>17522</v>
      </c>
      <c r="F773" s="5" t="s">
        <v>10</v>
      </c>
      <c r="G773" s="5" t="s">
        <v>11</v>
      </c>
      <c r="H773" s="3" t="s">
        <v>1141</v>
      </c>
    </row>
    <row r="774" spans="1:8" ht="13.8" x14ac:dyDescent="0.25">
      <c r="A774" s="3" t="s">
        <v>1004</v>
      </c>
      <c r="B774" s="3" t="s">
        <v>1142</v>
      </c>
      <c r="C774" s="4" t="str">
        <f>HYPERLINK("http://www.rncp.cncp.gouv.fr/grand-public/visualisationFiche?format=fr&amp;fiche=15683","15683")</f>
        <v>15683</v>
      </c>
      <c r="D774" s="4" t="str">
        <f>HYPERLINK("http://www.intercariforef.org/formations/certification-79037.html","79037")</f>
        <v>79037</v>
      </c>
      <c r="E774" s="5">
        <v>9173</v>
      </c>
      <c r="F774" s="5" t="s">
        <v>10</v>
      </c>
      <c r="G774" s="5" t="s">
        <v>11</v>
      </c>
      <c r="H774" s="3" t="s">
        <v>689</v>
      </c>
    </row>
    <row r="775" spans="1:8" ht="13.8" x14ac:dyDescent="0.25">
      <c r="A775" s="3" t="s">
        <v>1004</v>
      </c>
      <c r="B775" s="3" t="s">
        <v>1143</v>
      </c>
      <c r="C775" s="4" t="str">
        <f>HYPERLINK("http://www.rncp.cncp.gouv.fr/grand-public/visualisationFiche?format=fr&amp;fiche=18318","18318")</f>
        <v>18318</v>
      </c>
      <c r="D775" s="4" t="str">
        <f>HYPERLINK("http://www.intercariforef.org/formations/certification-78459.html","78459")</f>
        <v>78459</v>
      </c>
      <c r="E775" s="5">
        <v>130996</v>
      </c>
      <c r="F775" s="5" t="s">
        <v>10</v>
      </c>
      <c r="G775" s="5" t="s">
        <v>11</v>
      </c>
      <c r="H775" s="3" t="s">
        <v>25</v>
      </c>
    </row>
    <row r="776" spans="1:8" ht="13.8" x14ac:dyDescent="0.25">
      <c r="A776" s="3" t="s">
        <v>1004</v>
      </c>
      <c r="B776" s="3" t="s">
        <v>1144</v>
      </c>
      <c r="C776" s="4" t="str">
        <f>HYPERLINK("http://www.rncp.cncp.gouv.fr/grand-public/visualisationFiche?format=fr&amp;fiche=2028","2028")</f>
        <v>2028</v>
      </c>
      <c r="D776" s="4" t="str">
        <f>HYPERLINK("http://www.intercariforef.org/formations/certification-31956.html","31956")</f>
        <v>31956</v>
      </c>
      <c r="E776" s="5">
        <v>161368</v>
      </c>
      <c r="F776" s="5" t="s">
        <v>10</v>
      </c>
      <c r="G776" s="5" t="s">
        <v>11</v>
      </c>
      <c r="H776" s="3" t="s">
        <v>25</v>
      </c>
    </row>
    <row r="777" spans="1:8" ht="13.8" x14ac:dyDescent="0.25">
      <c r="A777" s="3" t="s">
        <v>1004</v>
      </c>
      <c r="B777" s="3" t="s">
        <v>1145</v>
      </c>
      <c r="C777" s="5"/>
      <c r="D777" s="4" t="str">
        <f>HYPERLINK("http://www.intercariforef.org/formations/certification-20138.html","20138")</f>
        <v>20138</v>
      </c>
      <c r="E777" s="5">
        <v>2961</v>
      </c>
      <c r="F777" s="5" t="s">
        <v>10</v>
      </c>
      <c r="G777" s="5" t="s">
        <v>11</v>
      </c>
      <c r="H777" s="3" t="s">
        <v>1146</v>
      </c>
    </row>
    <row r="778" spans="1:8" ht="13.8" x14ac:dyDescent="0.25">
      <c r="A778" s="3" t="s">
        <v>1004</v>
      </c>
      <c r="B778" s="3" t="s">
        <v>1147</v>
      </c>
      <c r="C778" s="4" t="str">
        <f>HYPERLINK("http://www.rncp.cncp.gouv.fr/grand-public/visualisationFiche?format=fr&amp;fiche=18363","18363")</f>
        <v>18363</v>
      </c>
      <c r="D778" s="4" t="str">
        <f>HYPERLINK("http://www.intercariforef.org/formations/certification-71516.html","71516")</f>
        <v>71516</v>
      </c>
      <c r="E778" s="5">
        <v>2319</v>
      </c>
      <c r="F778" s="5" t="s">
        <v>10</v>
      </c>
      <c r="G778" s="5" t="s">
        <v>11</v>
      </c>
      <c r="H778" s="3" t="s">
        <v>25</v>
      </c>
    </row>
    <row r="779" spans="1:8" ht="13.8" x14ac:dyDescent="0.25">
      <c r="A779" s="3" t="s">
        <v>1004</v>
      </c>
      <c r="B779" s="3" t="s">
        <v>1148</v>
      </c>
      <c r="C779" s="5"/>
      <c r="D779" s="4" t="str">
        <f>HYPERLINK("http://www.intercariforef.org/formations/certification-48172.html","48172")</f>
        <v>48172</v>
      </c>
      <c r="E779" s="5">
        <v>2966</v>
      </c>
      <c r="F779" s="5" t="s">
        <v>10</v>
      </c>
      <c r="G779" s="5" t="s">
        <v>11</v>
      </c>
      <c r="H779" s="3" t="s">
        <v>25</v>
      </c>
    </row>
    <row r="780" spans="1:8" ht="13.8" x14ac:dyDescent="0.25">
      <c r="A780" s="3" t="s">
        <v>1004</v>
      </c>
      <c r="B780" s="3" t="s">
        <v>1149</v>
      </c>
      <c r="C780" s="4" t="str">
        <f>HYPERLINK("http://www.rncp.cncp.gouv.fr/grand-public/visualisationFiche?format=fr&amp;fiche=8940","8940")</f>
        <v>8940</v>
      </c>
      <c r="D780" s="4" t="str">
        <f>HYPERLINK("http://www.intercariforef.org/formations/certification-64144.html","64144")</f>
        <v>64144</v>
      </c>
      <c r="E780" s="5">
        <v>2958</v>
      </c>
      <c r="F780" s="5" t="s">
        <v>10</v>
      </c>
      <c r="G780" s="5" t="s">
        <v>11</v>
      </c>
      <c r="H780" s="3" t="s">
        <v>25</v>
      </c>
    </row>
    <row r="781" spans="1:8" ht="27.6" x14ac:dyDescent="0.25">
      <c r="A781" s="3" t="s">
        <v>1004</v>
      </c>
      <c r="B781" s="3" t="s">
        <v>1150</v>
      </c>
      <c r="C781" s="4" t="str">
        <f>HYPERLINK("http://www.rncp.cncp.gouv.fr/grand-public/visualisationFiche?format=fr&amp;fiche=16286","16286")</f>
        <v>16286</v>
      </c>
      <c r="D781" s="4" t="str">
        <f>HYPERLINK("http://www.intercariforef.org/formations/certification-79036.html","79036")</f>
        <v>79036</v>
      </c>
      <c r="E781" s="5">
        <v>9175</v>
      </c>
      <c r="F781" s="5" t="s">
        <v>10</v>
      </c>
      <c r="G781" s="5" t="s">
        <v>11</v>
      </c>
      <c r="H781" s="3" t="s">
        <v>54</v>
      </c>
    </row>
    <row r="782" spans="1:8" ht="13.8" x14ac:dyDescent="0.25">
      <c r="A782" s="3" t="s">
        <v>1004</v>
      </c>
      <c r="B782" s="3" t="s">
        <v>1151</v>
      </c>
      <c r="C782" s="4" t="str">
        <f>HYPERLINK("http://www.rncp.cncp.gouv.fr/grand-public/visualisationFiche?format=fr&amp;fiche=15500","15500")</f>
        <v>15500</v>
      </c>
      <c r="D782" s="4" t="str">
        <f>HYPERLINK("http://www.intercariforef.org/formations/certification-60007.html","60007")</f>
        <v>60007</v>
      </c>
      <c r="E782" s="5">
        <v>9192</v>
      </c>
      <c r="F782" s="5" t="s">
        <v>10</v>
      </c>
      <c r="G782" s="5" t="s">
        <v>11</v>
      </c>
      <c r="H782" s="3" t="s">
        <v>77</v>
      </c>
    </row>
    <row r="783" spans="1:8" ht="13.8" x14ac:dyDescent="0.25">
      <c r="A783" s="3" t="s">
        <v>1004</v>
      </c>
      <c r="B783" s="3" t="s">
        <v>1152</v>
      </c>
      <c r="C783" s="4" t="str">
        <f>HYPERLINK("http://www.rncp.cncp.gouv.fr/grand-public/visualisationFiche?format=fr&amp;fiche=13281","13281")</f>
        <v>13281</v>
      </c>
      <c r="D783" s="4" t="str">
        <f>HYPERLINK("http://www.intercariforef.org/formations/certification-74919.html","74919")</f>
        <v>74919</v>
      </c>
      <c r="E783" s="5">
        <v>9189</v>
      </c>
      <c r="F783" s="5" t="s">
        <v>10</v>
      </c>
      <c r="G783" s="5" t="s">
        <v>11</v>
      </c>
      <c r="H783" s="3" t="s">
        <v>56</v>
      </c>
    </row>
    <row r="784" spans="1:8" ht="27.6" x14ac:dyDescent="0.25">
      <c r="A784" s="3" t="s">
        <v>1004</v>
      </c>
      <c r="B784" s="3" t="s">
        <v>1153</v>
      </c>
      <c r="C784" s="4" t="str">
        <f>HYPERLINK("http://www.rncp.cncp.gouv.fr/grand-public/visualisationFiche?format=fr&amp;fiche=9034","9034")</f>
        <v>9034</v>
      </c>
      <c r="D784" s="4" t="str">
        <f>HYPERLINK("http://www.intercariforef.org/formations/certification-55545.html","55545")</f>
        <v>55545</v>
      </c>
      <c r="E784" s="5">
        <v>144830</v>
      </c>
      <c r="F784" s="5" t="s">
        <v>10</v>
      </c>
      <c r="G784" s="5" t="s">
        <v>11</v>
      </c>
      <c r="H784" s="3" t="s">
        <v>1154</v>
      </c>
    </row>
    <row r="785" spans="1:8" ht="27.6" x14ac:dyDescent="0.25">
      <c r="A785" s="3" t="s">
        <v>1004</v>
      </c>
      <c r="B785" s="3" t="s">
        <v>1155</v>
      </c>
      <c r="C785" s="4" t="str">
        <f>HYPERLINK("http://www.rncp.cncp.gouv.fr/grand-public/visualisationFiche?format=fr&amp;fiche=9043","9043")</f>
        <v>9043</v>
      </c>
      <c r="D785" s="4" t="str">
        <f>HYPERLINK("http://www.intercariforef.org/formations/certification-55544.html","55544")</f>
        <v>55544</v>
      </c>
      <c r="E785" s="5">
        <v>144831</v>
      </c>
      <c r="F785" s="5" t="s">
        <v>10</v>
      </c>
      <c r="G785" s="5" t="s">
        <v>11</v>
      </c>
      <c r="H785" s="3" t="s">
        <v>1156</v>
      </c>
    </row>
    <row r="786" spans="1:8" ht="27.6" x14ac:dyDescent="0.25">
      <c r="A786" s="3" t="s">
        <v>1004</v>
      </c>
      <c r="B786" s="3" t="s">
        <v>1157</v>
      </c>
      <c r="C786" s="4" t="str">
        <f>HYPERLINK("http://www.rncp.cncp.gouv.fr/grand-public/visualisationFiche?format=fr&amp;fiche=9046","9046")</f>
        <v>9046</v>
      </c>
      <c r="D786" s="4" t="str">
        <f>HYPERLINK("http://www.intercariforef.org/formations/certification-77122.html","77122")</f>
        <v>77122</v>
      </c>
      <c r="E786" s="5">
        <v>144834</v>
      </c>
      <c r="F786" s="5" t="s">
        <v>10</v>
      </c>
      <c r="G786" s="5" t="s">
        <v>11</v>
      </c>
      <c r="H786" s="3" t="s">
        <v>1158</v>
      </c>
    </row>
    <row r="787" spans="1:8" ht="27.6" x14ac:dyDescent="0.25">
      <c r="A787" s="3" t="s">
        <v>1004</v>
      </c>
      <c r="B787" s="3" t="s">
        <v>1159</v>
      </c>
      <c r="C787" s="4" t="str">
        <f>HYPERLINK("http://www.rncp.cncp.gouv.fr/grand-public/visualisationFiche?format=fr&amp;fiche=9044","9044")</f>
        <v>9044</v>
      </c>
      <c r="D787" s="4" t="str">
        <f>HYPERLINK("http://www.intercariforef.org/formations/certification-77123.html","77123")</f>
        <v>77123</v>
      </c>
      <c r="E787" s="5">
        <v>144833</v>
      </c>
      <c r="F787" s="5" t="s">
        <v>10</v>
      </c>
      <c r="G787" s="5" t="s">
        <v>11</v>
      </c>
      <c r="H787" s="3" t="s">
        <v>1160</v>
      </c>
    </row>
    <row r="788" spans="1:8" ht="27.6" x14ac:dyDescent="0.25">
      <c r="A788" s="3" t="s">
        <v>1004</v>
      </c>
      <c r="B788" s="3" t="s">
        <v>1161</v>
      </c>
      <c r="C788" s="4" t="str">
        <f>HYPERLINK("http://www.rncp.cncp.gouv.fr/grand-public/visualisationFiche?format=fr&amp;fiche=9045","9045")</f>
        <v>9045</v>
      </c>
      <c r="D788" s="4" t="str">
        <f>HYPERLINK("http://www.intercariforef.org/formations/certification-77124.html","77124")</f>
        <v>77124</v>
      </c>
      <c r="E788" s="5">
        <v>144832</v>
      </c>
      <c r="F788" s="5" t="s">
        <v>10</v>
      </c>
      <c r="G788" s="5" t="s">
        <v>11</v>
      </c>
      <c r="H788" s="3" t="s">
        <v>1158</v>
      </c>
    </row>
    <row r="789" spans="1:8" ht="13.8" x14ac:dyDescent="0.25">
      <c r="A789" s="3" t="s">
        <v>1004</v>
      </c>
      <c r="B789" s="3" t="s">
        <v>1162</v>
      </c>
      <c r="C789" s="4" t="str">
        <f>HYPERLINK("http://www.rncp.cncp.gouv.fr/grand-public/visualisationFiche?format=fr&amp;fiche=18146","18146")</f>
        <v>18146</v>
      </c>
      <c r="D789" s="4" t="str">
        <f>HYPERLINK("http://www.intercariforef.org/formations/certification-30950.html","30950")</f>
        <v>30950</v>
      </c>
      <c r="E789" s="5">
        <v>2969</v>
      </c>
      <c r="F789" s="5" t="s">
        <v>10</v>
      </c>
      <c r="G789" s="5" t="s">
        <v>11</v>
      </c>
      <c r="H789" s="3" t="s">
        <v>1163</v>
      </c>
    </row>
    <row r="790" spans="1:8" ht="13.8" x14ac:dyDescent="0.25">
      <c r="A790" s="3" t="s">
        <v>1004</v>
      </c>
      <c r="B790" s="3" t="s">
        <v>1164</v>
      </c>
      <c r="C790" s="4" t="str">
        <f>HYPERLINK("http://www.rncp.cncp.gouv.fr/grand-public/visualisationFiche?format=fr&amp;fiche=19435","19435")</f>
        <v>19435</v>
      </c>
      <c r="D790" s="4" t="str">
        <f>HYPERLINK("http://www.intercariforef.org/formations/certification-63016.html","63016")</f>
        <v>63016</v>
      </c>
      <c r="E790" s="5">
        <v>9620</v>
      </c>
      <c r="F790" s="5" t="s">
        <v>10</v>
      </c>
      <c r="G790" s="5" t="s">
        <v>11</v>
      </c>
      <c r="H790" s="3" t="s">
        <v>16</v>
      </c>
    </row>
    <row r="791" spans="1:8" ht="13.8" x14ac:dyDescent="0.25">
      <c r="A791" s="3" t="s">
        <v>1004</v>
      </c>
      <c r="B791" s="3" t="s">
        <v>1165</v>
      </c>
      <c r="C791" s="4" t="str">
        <f>HYPERLINK("http://www.rncp.cncp.gouv.fr/grand-public/visualisationFiche?format=fr&amp;fiche=13599","13599")</f>
        <v>13599</v>
      </c>
      <c r="D791" s="4" t="str">
        <f>HYPERLINK("http://www.intercariforef.org/formations/certification-76747.html","76747")</f>
        <v>76747</v>
      </c>
      <c r="E791" s="5">
        <v>2970</v>
      </c>
      <c r="F791" s="5" t="s">
        <v>10</v>
      </c>
      <c r="G791" s="5" t="s">
        <v>11</v>
      </c>
      <c r="H791" s="3" t="s">
        <v>1166</v>
      </c>
    </row>
    <row r="792" spans="1:8" ht="13.8" x14ac:dyDescent="0.25">
      <c r="A792" s="3" t="s">
        <v>1004</v>
      </c>
      <c r="B792" s="3" t="s">
        <v>1167</v>
      </c>
      <c r="C792" s="4" t="str">
        <f>HYPERLINK("http://www.rncp.cncp.gouv.fr/grand-public/visualisationFiche?format=fr&amp;fiche=16940","16940")</f>
        <v>16940</v>
      </c>
      <c r="D792" s="4" t="str">
        <f>HYPERLINK("http://www.intercariforef.org/formations/certification-77552.html","77552")</f>
        <v>77552</v>
      </c>
      <c r="E792" s="5">
        <v>161370</v>
      </c>
      <c r="F792" s="5" t="s">
        <v>10</v>
      </c>
      <c r="G792" s="5" t="s">
        <v>11</v>
      </c>
      <c r="H792" s="3" t="s">
        <v>34</v>
      </c>
    </row>
    <row r="793" spans="1:8" ht="13.8" x14ac:dyDescent="0.25">
      <c r="A793" s="3" t="s">
        <v>1004</v>
      </c>
      <c r="B793" s="3" t="s">
        <v>1168</v>
      </c>
      <c r="C793" s="4" t="str">
        <f>HYPERLINK("http://www.rncp.cncp.gouv.fr/grand-public/visualisationFiche?format=fr&amp;fiche=13384","13384")</f>
        <v>13384</v>
      </c>
      <c r="D793" s="4" t="str">
        <f>HYPERLINK("http://www.intercariforef.org/formations/certification-76764.html","76764")</f>
        <v>76764</v>
      </c>
      <c r="E793" s="5">
        <v>16304</v>
      </c>
      <c r="F793" s="5" t="s">
        <v>10</v>
      </c>
      <c r="G793" s="5" t="s">
        <v>11</v>
      </c>
      <c r="H793" s="3" t="s">
        <v>1169</v>
      </c>
    </row>
    <row r="794" spans="1:8" ht="13.8" x14ac:dyDescent="0.25">
      <c r="A794" s="3" t="s">
        <v>1004</v>
      </c>
      <c r="B794" s="3" t="s">
        <v>1170</v>
      </c>
      <c r="C794" s="4" t="str">
        <f>HYPERLINK("http://www.rncp.cncp.gouv.fr/grand-public/visualisationFiche?format=fr&amp;fiche=6081","6081")</f>
        <v>6081</v>
      </c>
      <c r="D794" s="4" t="str">
        <f>HYPERLINK("http://www.intercariforef.org/formations/certification-59660.html","59660")</f>
        <v>59660</v>
      </c>
      <c r="E794" s="5">
        <v>19258</v>
      </c>
      <c r="F794" s="5" t="s">
        <v>10</v>
      </c>
      <c r="G794" s="5" t="s">
        <v>11</v>
      </c>
      <c r="H794" s="3" t="s">
        <v>1171</v>
      </c>
    </row>
    <row r="795" spans="1:8" ht="13.8" x14ac:dyDescent="0.25">
      <c r="A795" s="3" t="s">
        <v>1004</v>
      </c>
      <c r="B795" s="3" t="s">
        <v>1172</v>
      </c>
      <c r="C795" s="4" t="str">
        <f>HYPERLINK("http://www.rncp.cncp.gouv.fr/grand-public/visualisationFiche?format=fr&amp;fiche=17223","17223")</f>
        <v>17223</v>
      </c>
      <c r="D795" s="4" t="str">
        <f>HYPERLINK("http://www.intercariforef.org/formations/certification-63698.html","63698")</f>
        <v>63698</v>
      </c>
      <c r="E795" s="5">
        <v>144835</v>
      </c>
      <c r="F795" s="5" t="s">
        <v>10</v>
      </c>
      <c r="G795" s="5" t="s">
        <v>11</v>
      </c>
      <c r="H795" s="3" t="s">
        <v>1173</v>
      </c>
    </row>
    <row r="796" spans="1:8" ht="27.6" x14ac:dyDescent="0.25">
      <c r="A796" s="3" t="s">
        <v>1004</v>
      </c>
      <c r="B796" s="3" t="s">
        <v>1174</v>
      </c>
      <c r="C796" s="4" t="str">
        <f>HYPERLINK("http://www.rncp.cncp.gouv.fr/grand-public/visualisationFiche?format=fr&amp;fiche=408","408")</f>
        <v>408</v>
      </c>
      <c r="D796" s="4" t="str">
        <f>HYPERLINK("http://www.intercariforef.org/formations/certification-54272.html","54272")</f>
        <v>54272</v>
      </c>
      <c r="E796" s="5">
        <v>131678</v>
      </c>
      <c r="F796" s="5" t="s">
        <v>10</v>
      </c>
      <c r="G796" s="5" t="s">
        <v>11</v>
      </c>
      <c r="H796" s="3" t="s">
        <v>1175</v>
      </c>
    </row>
    <row r="797" spans="1:8" ht="13.8" x14ac:dyDescent="0.25">
      <c r="A797" s="3" t="s">
        <v>1004</v>
      </c>
      <c r="B797" s="3" t="s">
        <v>1176</v>
      </c>
      <c r="C797" s="4" t="str">
        <f>HYPERLINK("http://www.rncp.cncp.gouv.fr/grand-public/visualisationFiche?format=fr&amp;fiche=17231","17231")</f>
        <v>17231</v>
      </c>
      <c r="D797" s="4" t="str">
        <f>HYPERLINK("http://www.intercariforef.org/formations/certification-81554.html","81554")</f>
        <v>81554</v>
      </c>
      <c r="E797" s="5">
        <v>2971</v>
      </c>
      <c r="F797" s="5" t="s">
        <v>10</v>
      </c>
      <c r="G797" s="5" t="s">
        <v>11</v>
      </c>
      <c r="H797" s="3" t="s">
        <v>1177</v>
      </c>
    </row>
    <row r="798" spans="1:8" ht="13.8" x14ac:dyDescent="0.25">
      <c r="A798" s="3" t="s">
        <v>1004</v>
      </c>
      <c r="B798" s="3" t="s">
        <v>1178</v>
      </c>
      <c r="C798" s="4" t="str">
        <f>HYPERLINK("http://www.rncp.cncp.gouv.fr/grand-public/visualisationFiche?format=fr&amp;fiche=21515","21515")</f>
        <v>21515</v>
      </c>
      <c r="D798" s="4" t="str">
        <f>HYPERLINK("http://www.intercariforef.org/formations/certification-69901.html","69901")</f>
        <v>69901</v>
      </c>
      <c r="E798" s="5">
        <v>131676</v>
      </c>
      <c r="F798" s="5" t="s">
        <v>10</v>
      </c>
      <c r="G798" s="5" t="s">
        <v>11</v>
      </c>
      <c r="H798" s="3" t="s">
        <v>1179</v>
      </c>
    </row>
    <row r="799" spans="1:8" ht="13.8" x14ac:dyDescent="0.25">
      <c r="A799" s="3" t="s">
        <v>1004</v>
      </c>
      <c r="B799" s="3" t="s">
        <v>1180</v>
      </c>
      <c r="C799" s="4" t="str">
        <f>HYPERLINK("http://www.rncp.cncp.gouv.fr/grand-public/visualisationFiche?format=fr&amp;fiche=13674","13674")</f>
        <v>13674</v>
      </c>
      <c r="D799" s="4" t="str">
        <f>HYPERLINK("http://www.intercariforef.org/formations/certification-77006.html","77006")</f>
        <v>77006</v>
      </c>
      <c r="E799" s="5">
        <v>131672</v>
      </c>
      <c r="F799" s="5" t="s">
        <v>10</v>
      </c>
      <c r="G799" s="5" t="s">
        <v>11</v>
      </c>
      <c r="H799" s="3" t="s">
        <v>1171</v>
      </c>
    </row>
    <row r="800" spans="1:8" ht="13.8" x14ac:dyDescent="0.25">
      <c r="A800" s="3" t="s">
        <v>1004</v>
      </c>
      <c r="B800" s="3" t="s">
        <v>1181</v>
      </c>
      <c r="C800" s="4" t="str">
        <f>HYPERLINK("http://www.rncp.cncp.gouv.fr/grand-public/visualisationFiche?format=fr&amp;fiche=9915","9915")</f>
        <v>9915</v>
      </c>
      <c r="D800" s="4" t="str">
        <f>HYPERLINK("http://www.intercariforef.org/formations/certification-69945.html","69945")</f>
        <v>69945</v>
      </c>
      <c r="E800" s="5">
        <v>131677</v>
      </c>
      <c r="F800" s="5" t="s">
        <v>10</v>
      </c>
      <c r="G800" s="5" t="s">
        <v>11</v>
      </c>
      <c r="H800" s="3" t="s">
        <v>1182</v>
      </c>
    </row>
    <row r="801" spans="1:8" ht="13.8" x14ac:dyDescent="0.25">
      <c r="A801" s="3" t="s">
        <v>1004</v>
      </c>
      <c r="B801" s="3" t="s">
        <v>1183</v>
      </c>
      <c r="C801" s="4" t="str">
        <f>HYPERLINK("http://www.rncp.cncp.gouv.fr/grand-public/visualisationFiche?format=fr&amp;fiche=9915","9915")</f>
        <v>9915</v>
      </c>
      <c r="D801" s="4" t="str">
        <f>HYPERLINK("http://www.intercariforef.org/formations/certification-69947.html","69947")</f>
        <v>69947</v>
      </c>
      <c r="E801" s="5">
        <v>131675</v>
      </c>
      <c r="F801" s="5" t="s">
        <v>10</v>
      </c>
      <c r="G801" s="5" t="s">
        <v>11</v>
      </c>
      <c r="H801" s="3" t="s">
        <v>1182</v>
      </c>
    </row>
    <row r="802" spans="1:8" ht="13.8" x14ac:dyDescent="0.25">
      <c r="A802" s="3" t="s">
        <v>1004</v>
      </c>
      <c r="B802" s="3" t="s">
        <v>1184</v>
      </c>
      <c r="C802" s="4" t="str">
        <f>HYPERLINK("http://www.rncp.cncp.gouv.fr/grand-public/visualisationFiche?format=fr&amp;fiche=16891","16891")</f>
        <v>16891</v>
      </c>
      <c r="D802" s="4" t="str">
        <f>HYPERLINK("http://www.intercariforef.org/formations/certification-81350.html","81350")</f>
        <v>81350</v>
      </c>
      <c r="E802" s="5">
        <v>131674</v>
      </c>
      <c r="F802" s="5" t="s">
        <v>10</v>
      </c>
      <c r="G802" s="5" t="s">
        <v>11</v>
      </c>
      <c r="H802" s="3" t="s">
        <v>1185</v>
      </c>
    </row>
    <row r="803" spans="1:8" ht="13.8" x14ac:dyDescent="0.25">
      <c r="A803" s="3" t="s">
        <v>1004</v>
      </c>
      <c r="B803" s="3" t="s">
        <v>1186</v>
      </c>
      <c r="C803" s="4" t="str">
        <f>HYPERLINK("http://www.rncp.cncp.gouv.fr/grand-public/visualisationFiche?format=fr&amp;fiche=17227","17227")</f>
        <v>17227</v>
      </c>
      <c r="D803" s="4" t="str">
        <f>HYPERLINK("http://www.intercariforef.org/formations/certification-81550.html","81550")</f>
        <v>81550</v>
      </c>
      <c r="E803" s="5">
        <v>131673</v>
      </c>
      <c r="F803" s="5" t="s">
        <v>10</v>
      </c>
      <c r="G803" s="5" t="s">
        <v>11</v>
      </c>
      <c r="H803" s="3" t="s">
        <v>1187</v>
      </c>
    </row>
    <row r="804" spans="1:8" ht="27.6" x14ac:dyDescent="0.25">
      <c r="A804" s="3" t="s">
        <v>1004</v>
      </c>
      <c r="B804" s="3" t="s">
        <v>1188</v>
      </c>
      <c r="C804" s="4" t="str">
        <f>HYPERLINK("http://www.rncp.cncp.gouv.fr/grand-public/visualisationFiche?format=fr&amp;fiche=16984","16984")</f>
        <v>16984</v>
      </c>
      <c r="D804" s="4" t="str">
        <f>HYPERLINK("http://www.intercariforef.org/formations/certification-69524.html","69524")</f>
        <v>69524</v>
      </c>
      <c r="E804" s="5">
        <v>14065</v>
      </c>
      <c r="F804" s="5" t="s">
        <v>10</v>
      </c>
      <c r="G804" s="5" t="s">
        <v>11</v>
      </c>
      <c r="H804" s="3" t="s">
        <v>1189</v>
      </c>
    </row>
    <row r="805" spans="1:8" ht="13.8" x14ac:dyDescent="0.25">
      <c r="A805" s="3" t="s">
        <v>1004</v>
      </c>
      <c r="B805" s="3" t="s">
        <v>1190</v>
      </c>
      <c r="C805" s="4" t="str">
        <f>HYPERLINK("http://www.rncp.cncp.gouv.fr/grand-public/visualisationFiche?format=fr&amp;fiche=15106","15106")</f>
        <v>15106</v>
      </c>
      <c r="D805" s="4" t="str">
        <f>HYPERLINK("http://www.intercariforef.org/formations/certification-78902.html","78902")</f>
        <v>78902</v>
      </c>
      <c r="E805" s="5">
        <v>144408</v>
      </c>
      <c r="F805" s="5" t="s">
        <v>10</v>
      </c>
      <c r="G805" s="5" t="s">
        <v>11</v>
      </c>
      <c r="H805" s="3" t="s">
        <v>34</v>
      </c>
    </row>
    <row r="806" spans="1:8" ht="13.8" x14ac:dyDescent="0.25">
      <c r="A806" s="3" t="s">
        <v>1004</v>
      </c>
      <c r="B806" s="3" t="s">
        <v>1191</v>
      </c>
      <c r="C806" s="5"/>
      <c r="D806" s="4" t="str">
        <f>HYPERLINK("http://www.intercariforef.org/formations/certification-71412.html","71412")</f>
        <v>71412</v>
      </c>
      <c r="E806" s="5">
        <v>161371</v>
      </c>
      <c r="F806" s="5" t="s">
        <v>10</v>
      </c>
      <c r="G806" s="5" t="s">
        <v>11</v>
      </c>
      <c r="H806" s="3" t="s">
        <v>810</v>
      </c>
    </row>
    <row r="807" spans="1:8" ht="27.6" x14ac:dyDescent="0.25">
      <c r="A807" s="3" t="s">
        <v>1004</v>
      </c>
      <c r="B807" s="3" t="s">
        <v>1192</v>
      </c>
      <c r="C807" s="4" t="str">
        <f>HYPERLINK("http://www.rncp.cncp.gouv.fr/grand-public/visualisationFiche?format=fr&amp;fiche=6701","6701")</f>
        <v>6701</v>
      </c>
      <c r="D807" s="4" t="str">
        <f>HYPERLINK("http://www.intercariforef.org/formations/certification-64392.html","64392")</f>
        <v>64392</v>
      </c>
      <c r="E807" s="5">
        <v>131689</v>
      </c>
      <c r="F807" s="5" t="s">
        <v>10</v>
      </c>
      <c r="G807" s="5" t="s">
        <v>11</v>
      </c>
      <c r="H807" s="3" t="s">
        <v>736</v>
      </c>
    </row>
    <row r="808" spans="1:8" ht="27.6" x14ac:dyDescent="0.25">
      <c r="A808" s="3" t="s">
        <v>1004</v>
      </c>
      <c r="B808" s="3" t="s">
        <v>1193</v>
      </c>
      <c r="C808" s="5"/>
      <c r="D808" s="4" t="str">
        <f>HYPERLINK("http://www.intercariforef.org/formations/certification-64763.html","64763")</f>
        <v>64763</v>
      </c>
      <c r="E808" s="5">
        <v>2993</v>
      </c>
      <c r="F808" s="5" t="s">
        <v>10</v>
      </c>
      <c r="G808" s="5" t="s">
        <v>11</v>
      </c>
      <c r="H808" s="3" t="s">
        <v>908</v>
      </c>
    </row>
    <row r="809" spans="1:8" ht="27.6" x14ac:dyDescent="0.25">
      <c r="A809" s="3" t="s">
        <v>1004</v>
      </c>
      <c r="B809" s="3" t="s">
        <v>1194</v>
      </c>
      <c r="C809" s="4" t="str">
        <f>HYPERLINK("http://www.rncp.cncp.gouv.fr/grand-public/visualisationFiche?format=fr&amp;fiche=16917","16917")</f>
        <v>16917</v>
      </c>
      <c r="D809" s="4" t="str">
        <f>HYPERLINK("http://www.intercariforef.org/formations/certification-59171.html","59171")</f>
        <v>59171</v>
      </c>
      <c r="E809" s="5">
        <v>131727</v>
      </c>
      <c r="F809" s="5" t="s">
        <v>10</v>
      </c>
      <c r="G809" s="5" t="s">
        <v>11</v>
      </c>
      <c r="H809" s="3" t="s">
        <v>766</v>
      </c>
    </row>
    <row r="810" spans="1:8" ht="27.6" x14ac:dyDescent="0.25">
      <c r="A810" s="3" t="s">
        <v>1004</v>
      </c>
      <c r="B810" s="3" t="s">
        <v>1195</v>
      </c>
      <c r="C810" s="4" t="str">
        <f>HYPERLINK("http://www.rncp.cncp.gouv.fr/grand-public/visualisationFiche?format=fr&amp;fiche=3815","3815")</f>
        <v>3815</v>
      </c>
      <c r="D810" s="4" t="str">
        <f>HYPERLINK("http://www.intercariforef.org/formations/certification-65677.html","65677")</f>
        <v>65677</v>
      </c>
      <c r="E810" s="5">
        <v>2999</v>
      </c>
      <c r="F810" s="5" t="s">
        <v>10</v>
      </c>
      <c r="G810" s="5" t="s">
        <v>11</v>
      </c>
      <c r="H810" s="3" t="s">
        <v>788</v>
      </c>
    </row>
    <row r="811" spans="1:8" ht="27.6" x14ac:dyDescent="0.25">
      <c r="A811" s="3" t="s">
        <v>1004</v>
      </c>
      <c r="B811" s="3" t="s">
        <v>1196</v>
      </c>
      <c r="C811" s="4" t="str">
        <f>HYPERLINK("http://www.rncp.cncp.gouv.fr/grand-public/visualisationFiche?format=fr&amp;fiche=7522","7522")</f>
        <v>7522</v>
      </c>
      <c r="D811" s="4" t="str">
        <f>HYPERLINK("http://www.intercariforef.org/formations/certification-59471.html","59471")</f>
        <v>59471</v>
      </c>
      <c r="E811" s="5">
        <v>2997</v>
      </c>
      <c r="F811" s="5" t="s">
        <v>10</v>
      </c>
      <c r="G811" s="5" t="s">
        <v>11</v>
      </c>
      <c r="H811" s="3" t="s">
        <v>538</v>
      </c>
    </row>
    <row r="812" spans="1:8" ht="27.6" x14ac:dyDescent="0.25">
      <c r="A812" s="3" t="s">
        <v>1004</v>
      </c>
      <c r="B812" s="3" t="s">
        <v>1197</v>
      </c>
      <c r="C812" s="4" t="str">
        <f>HYPERLINK("http://www.rncp.cncp.gouv.fr/grand-public/visualisationFiche?format=fr&amp;fiche=3600","3600")</f>
        <v>3600</v>
      </c>
      <c r="D812" s="4" t="str">
        <f>HYPERLINK("http://www.intercariforef.org/formations/certification-76485.html","76485")</f>
        <v>76485</v>
      </c>
      <c r="E812" s="5">
        <v>3000</v>
      </c>
      <c r="F812" s="5" t="s">
        <v>10</v>
      </c>
      <c r="G812" s="5" t="s">
        <v>11</v>
      </c>
      <c r="H812" s="3" t="s">
        <v>954</v>
      </c>
    </row>
    <row r="813" spans="1:8" ht="27.6" x14ac:dyDescent="0.25">
      <c r="A813" s="3" t="s">
        <v>1004</v>
      </c>
      <c r="B813" s="3" t="s">
        <v>1198</v>
      </c>
      <c r="C813" s="4" t="str">
        <f>HYPERLINK("http://www.rncp.cncp.gouv.fr/grand-public/visualisationFiche?format=fr&amp;fiche=22209","22209")</f>
        <v>22209</v>
      </c>
      <c r="D813" s="4" t="str">
        <f>HYPERLINK("http://www.intercariforef.org/formations/certification-58771.html","58771")</f>
        <v>58771</v>
      </c>
      <c r="E813" s="5">
        <v>16443</v>
      </c>
      <c r="F813" s="5" t="s">
        <v>10</v>
      </c>
      <c r="G813" s="5" t="s">
        <v>11</v>
      </c>
      <c r="H813" s="3" t="s">
        <v>750</v>
      </c>
    </row>
    <row r="814" spans="1:8" ht="27.6" x14ac:dyDescent="0.25">
      <c r="A814" s="3" t="s">
        <v>1004</v>
      </c>
      <c r="B814" s="3" t="s">
        <v>1199</v>
      </c>
      <c r="C814" s="5"/>
      <c r="D814" s="4" t="str">
        <f>HYPERLINK("http://www.intercariforef.org/formations/certification-71348.html","71348")</f>
        <v>71348</v>
      </c>
      <c r="E814" s="5">
        <v>3002</v>
      </c>
      <c r="F814" s="5" t="s">
        <v>10</v>
      </c>
      <c r="G814" s="5" t="s">
        <v>11</v>
      </c>
      <c r="H814" s="3" t="s">
        <v>842</v>
      </c>
    </row>
    <row r="815" spans="1:8" ht="27.6" x14ac:dyDescent="0.25">
      <c r="A815" s="3" t="s">
        <v>1004</v>
      </c>
      <c r="B815" s="3" t="s">
        <v>1200</v>
      </c>
      <c r="C815" s="5"/>
      <c r="D815" s="4" t="str">
        <f>HYPERLINK("http://www.intercariforef.org/formations/certification-81925.html","81925")</f>
        <v>81925</v>
      </c>
      <c r="E815" s="5">
        <v>131690</v>
      </c>
      <c r="F815" s="5" t="s">
        <v>10</v>
      </c>
      <c r="G815" s="5" t="s">
        <v>11</v>
      </c>
      <c r="H815" s="3" t="s">
        <v>737</v>
      </c>
    </row>
    <row r="816" spans="1:8" ht="27.6" x14ac:dyDescent="0.25">
      <c r="A816" s="3" t="s">
        <v>1004</v>
      </c>
      <c r="B816" s="3" t="s">
        <v>1201</v>
      </c>
      <c r="C816" s="4" t="str">
        <f>HYPERLINK("http://www.rncp.cncp.gouv.fr/grand-public/visualisationFiche?format=fr&amp;fiche=17627","17627")</f>
        <v>17627</v>
      </c>
      <c r="D816" s="4" t="str">
        <f>HYPERLINK("http://www.intercariforef.org/formations/certification-16281.html","16281")</f>
        <v>16281</v>
      </c>
      <c r="E816" s="5">
        <v>131722</v>
      </c>
      <c r="F816" s="5" t="s">
        <v>10</v>
      </c>
      <c r="G816" s="5" t="s">
        <v>11</v>
      </c>
      <c r="H816" s="3" t="s">
        <v>717</v>
      </c>
    </row>
    <row r="817" spans="1:8" ht="27.6" x14ac:dyDescent="0.25">
      <c r="A817" s="3" t="s">
        <v>1004</v>
      </c>
      <c r="B817" s="3" t="s">
        <v>1202</v>
      </c>
      <c r="C817" s="5"/>
      <c r="D817" s="4" t="str">
        <f>HYPERLINK("http://www.intercariforef.org/formations/certification-79290.html","79290")</f>
        <v>79290</v>
      </c>
      <c r="E817" s="5">
        <v>131726</v>
      </c>
      <c r="F817" s="5" t="s">
        <v>10</v>
      </c>
      <c r="G817" s="5" t="s">
        <v>11</v>
      </c>
      <c r="H817" s="3" t="s">
        <v>809</v>
      </c>
    </row>
    <row r="818" spans="1:8" ht="13.8" x14ac:dyDescent="0.25">
      <c r="A818" s="3" t="s">
        <v>1004</v>
      </c>
      <c r="B818" s="3" t="s">
        <v>1203</v>
      </c>
      <c r="C818" s="4" t="str">
        <f>HYPERLINK("http://www.rncp.cncp.gouv.fr/grand-public/visualisationFiche?format=fr&amp;fiche=3610","3610")</f>
        <v>3610</v>
      </c>
      <c r="D818" s="4" t="str">
        <f>HYPERLINK("http://www.intercariforef.org/formations/certification-54479.html","54479")</f>
        <v>54479</v>
      </c>
      <c r="E818" s="5">
        <v>131724</v>
      </c>
      <c r="F818" s="5" t="s">
        <v>10</v>
      </c>
      <c r="G818" s="5" t="s">
        <v>11</v>
      </c>
      <c r="H818" s="3" t="s">
        <v>769</v>
      </c>
    </row>
    <row r="819" spans="1:8" ht="27.6" x14ac:dyDescent="0.25">
      <c r="A819" s="3" t="s">
        <v>1004</v>
      </c>
      <c r="B819" s="3" t="s">
        <v>1204</v>
      </c>
      <c r="C819" s="4" t="str">
        <f>HYPERLINK("http://www.rncp.cncp.gouv.fr/grand-public/visualisationFiche?format=fr&amp;fiche=3321","3321")</f>
        <v>3321</v>
      </c>
      <c r="D819" s="4" t="str">
        <f>HYPERLINK("http://www.intercariforef.org/formations/certification-16288.html","16288")</f>
        <v>16288</v>
      </c>
      <c r="E819" s="5">
        <v>131725</v>
      </c>
      <c r="F819" s="5" t="s">
        <v>10</v>
      </c>
      <c r="G819" s="5" t="s">
        <v>11</v>
      </c>
      <c r="H819" s="3" t="s">
        <v>1205</v>
      </c>
    </row>
    <row r="820" spans="1:8" ht="27.6" x14ac:dyDescent="0.25">
      <c r="A820" s="3" t="s">
        <v>1004</v>
      </c>
      <c r="B820" s="3" t="s">
        <v>1206</v>
      </c>
      <c r="C820" s="4" t="str">
        <f>HYPERLINK("http://www.rncp.cncp.gouv.fr/grand-public/visualisationFiche?format=fr&amp;fiche=11665","11665")</f>
        <v>11665</v>
      </c>
      <c r="D820" s="4" t="str">
        <f>HYPERLINK("http://www.intercariforef.org/formations/certification-42639.html","42639")</f>
        <v>42639</v>
      </c>
      <c r="E820" s="5">
        <v>131692</v>
      </c>
      <c r="F820" s="5" t="s">
        <v>10</v>
      </c>
      <c r="G820" s="5" t="s">
        <v>11</v>
      </c>
      <c r="H820" s="3" t="s">
        <v>737</v>
      </c>
    </row>
    <row r="821" spans="1:8" ht="27.6" x14ac:dyDescent="0.25">
      <c r="A821" s="3" t="s">
        <v>1004</v>
      </c>
      <c r="B821" s="3" t="s">
        <v>1207</v>
      </c>
      <c r="C821" s="4" t="str">
        <f>HYPERLINK("http://www.rncp.cncp.gouv.fr/grand-public/visualisationFiche?format=fr&amp;fiche=3158","3158")</f>
        <v>3158</v>
      </c>
      <c r="D821" s="4" t="str">
        <f>HYPERLINK("http://www.intercariforef.org/formations/certification-59247.html","59247")</f>
        <v>59247</v>
      </c>
      <c r="E821" s="5">
        <v>2994</v>
      </c>
      <c r="F821" s="5" t="s">
        <v>10</v>
      </c>
      <c r="G821" s="5" t="s">
        <v>11</v>
      </c>
      <c r="H821" s="3" t="s">
        <v>750</v>
      </c>
    </row>
    <row r="822" spans="1:8" ht="27.6" x14ac:dyDescent="0.25">
      <c r="A822" s="3" t="s">
        <v>1004</v>
      </c>
      <c r="B822" s="3" t="s">
        <v>1208</v>
      </c>
      <c r="C822" s="4" t="str">
        <f>HYPERLINK("http://www.rncp.cncp.gouv.fr/grand-public/visualisationFiche?format=fr&amp;fiche=19375","19375")</f>
        <v>19375</v>
      </c>
      <c r="D822" s="4" t="str">
        <f>HYPERLINK("http://www.intercariforef.org/formations/certification-59333.html","59333")</f>
        <v>59333</v>
      </c>
      <c r="E822" s="5">
        <v>131723</v>
      </c>
      <c r="F822" s="5" t="s">
        <v>10</v>
      </c>
      <c r="G822" s="5" t="s">
        <v>11</v>
      </c>
      <c r="H822" s="3" t="s">
        <v>1209</v>
      </c>
    </row>
    <row r="823" spans="1:8" ht="27.6" x14ac:dyDescent="0.25">
      <c r="A823" s="3" t="s">
        <v>1004</v>
      </c>
      <c r="B823" s="3" t="s">
        <v>1210</v>
      </c>
      <c r="C823" s="4" t="str">
        <f>HYPERLINK("http://www.rncp.cncp.gouv.fr/grand-public/visualisationFiche?format=fr&amp;fiche=20018","20018")</f>
        <v>20018</v>
      </c>
      <c r="D823" s="4" t="str">
        <f>HYPERLINK("http://www.intercariforef.org/formations/certification-77178.html","77178")</f>
        <v>77178</v>
      </c>
      <c r="E823" s="5">
        <v>3007</v>
      </c>
      <c r="F823" s="5" t="s">
        <v>10</v>
      </c>
      <c r="G823" s="5" t="s">
        <v>11</v>
      </c>
      <c r="H823" s="3" t="s">
        <v>810</v>
      </c>
    </row>
    <row r="824" spans="1:8" ht="41.4" x14ac:dyDescent="0.25">
      <c r="A824" s="3" t="s">
        <v>1004</v>
      </c>
      <c r="B824" s="3" t="s">
        <v>1211</v>
      </c>
      <c r="C824" s="4" t="str">
        <f>HYPERLINK("http://www.rncp.cncp.gouv.fr/grand-public/visualisationFiche?format=fr&amp;fiche=15973","15973")</f>
        <v>15973</v>
      </c>
      <c r="D824" s="4" t="str">
        <f>HYPERLINK("http://www.intercariforef.org/formations/certification-80095.html","80095")</f>
        <v>80095</v>
      </c>
      <c r="E824" s="5">
        <v>131693</v>
      </c>
      <c r="F824" s="5" t="s">
        <v>10</v>
      </c>
      <c r="G824" s="5" t="s">
        <v>11</v>
      </c>
      <c r="H824" s="3" t="s">
        <v>763</v>
      </c>
    </row>
    <row r="825" spans="1:8" ht="13.8" x14ac:dyDescent="0.25">
      <c r="A825" s="3" t="s">
        <v>1004</v>
      </c>
      <c r="B825" s="3" t="s">
        <v>1212</v>
      </c>
      <c r="C825" s="4" t="str">
        <f>HYPERLINK("http://www.rncp.cncp.gouv.fr/grand-public/visualisationFiche?format=fr&amp;fiche=4663","4663")</f>
        <v>4663</v>
      </c>
      <c r="D825" s="4" t="str">
        <f>HYPERLINK("http://www.intercariforef.org/formations/certification-54299.html","54299")</f>
        <v>54299</v>
      </c>
      <c r="E825" s="5">
        <v>131688</v>
      </c>
      <c r="F825" s="5" t="s">
        <v>10</v>
      </c>
      <c r="G825" s="5" t="s">
        <v>11</v>
      </c>
      <c r="H825" s="3" t="s">
        <v>1209</v>
      </c>
    </row>
    <row r="826" spans="1:8" ht="13.8" x14ac:dyDescent="0.25">
      <c r="A826" s="3" t="s">
        <v>1004</v>
      </c>
      <c r="B826" s="3" t="s">
        <v>1213</v>
      </c>
      <c r="C826" s="4" t="str">
        <f>HYPERLINK("http://www.rncp.cncp.gouv.fr/grand-public/visualisationFiche?format=fr&amp;fiche=3225","3225")</f>
        <v>3225</v>
      </c>
      <c r="D826" s="4" t="str">
        <f>HYPERLINK("http://www.intercariforef.org/formations/certification-16312.html","16312")</f>
        <v>16312</v>
      </c>
      <c r="E826" s="5">
        <v>2995</v>
      </c>
      <c r="F826" s="5" t="s">
        <v>10</v>
      </c>
      <c r="G826" s="5" t="s">
        <v>11</v>
      </c>
      <c r="H826" s="3" t="s">
        <v>734</v>
      </c>
    </row>
    <row r="827" spans="1:8" ht="27.6" x14ac:dyDescent="0.25">
      <c r="A827" s="3" t="s">
        <v>1004</v>
      </c>
      <c r="B827" s="3" t="s">
        <v>1214</v>
      </c>
      <c r="C827" s="5"/>
      <c r="D827" s="4" t="str">
        <f>HYPERLINK("http://www.intercariforef.org/formations/certification-64931.html","64931")</f>
        <v>64931</v>
      </c>
      <c r="E827" s="5">
        <v>161373</v>
      </c>
      <c r="F827" s="5" t="s">
        <v>10</v>
      </c>
      <c r="G827" s="5" t="s">
        <v>11</v>
      </c>
      <c r="H827" s="3" t="s">
        <v>774</v>
      </c>
    </row>
    <row r="828" spans="1:8" ht="27.6" x14ac:dyDescent="0.25">
      <c r="A828" s="3" t="s">
        <v>1004</v>
      </c>
      <c r="B828" s="3" t="s">
        <v>1214</v>
      </c>
      <c r="C828" s="4" t="str">
        <f>HYPERLINK("http://www.rncp.cncp.gouv.fr/grand-public/visualisationFiche?format=fr&amp;fiche=4759","4759")</f>
        <v>4759</v>
      </c>
      <c r="D828" s="4" t="str">
        <f>HYPERLINK("http://www.intercariforef.org/formations/certification-64932.html","64932")</f>
        <v>64932</v>
      </c>
      <c r="E828" s="5">
        <v>161374</v>
      </c>
      <c r="F828" s="5" t="s">
        <v>10</v>
      </c>
      <c r="G828" s="5" t="s">
        <v>11</v>
      </c>
      <c r="H828" s="3" t="s">
        <v>789</v>
      </c>
    </row>
    <row r="829" spans="1:8" ht="27.6" x14ac:dyDescent="0.25">
      <c r="A829" s="3" t="s">
        <v>1004</v>
      </c>
      <c r="B829" s="3" t="s">
        <v>1214</v>
      </c>
      <c r="C829" s="5"/>
      <c r="D829" s="4" t="str">
        <f>HYPERLINK("http://www.intercariforef.org/formations/certification-69097.html","69097")</f>
        <v>69097</v>
      </c>
      <c r="E829" s="5">
        <v>161375</v>
      </c>
      <c r="F829" s="5" t="s">
        <v>10</v>
      </c>
      <c r="G829" s="5" t="s">
        <v>11</v>
      </c>
      <c r="H829" s="3" t="s">
        <v>785</v>
      </c>
    </row>
    <row r="830" spans="1:8" ht="27.6" x14ac:dyDescent="0.25">
      <c r="A830" s="3" t="s">
        <v>1004</v>
      </c>
      <c r="B830" s="3" t="s">
        <v>1214</v>
      </c>
      <c r="C830" s="5"/>
      <c r="D830" s="4" t="str">
        <f>HYPERLINK("http://www.intercariforef.org/formations/certification-81952.html","81952")</f>
        <v>81952</v>
      </c>
      <c r="E830" s="5">
        <v>161376</v>
      </c>
      <c r="F830" s="5" t="s">
        <v>10</v>
      </c>
      <c r="G830" s="5" t="s">
        <v>11</v>
      </c>
      <c r="H830" s="3" t="s">
        <v>737</v>
      </c>
    </row>
    <row r="831" spans="1:8" ht="27.6" x14ac:dyDescent="0.25">
      <c r="A831" s="3" t="s">
        <v>1004</v>
      </c>
      <c r="B831" s="3" t="s">
        <v>1214</v>
      </c>
      <c r="C831" s="5"/>
      <c r="D831" s="4" t="str">
        <f>HYPERLINK("http://www.intercariforef.org/formations/certification-64930.html","64930")</f>
        <v>64930</v>
      </c>
      <c r="E831" s="5">
        <v>161372</v>
      </c>
      <c r="F831" s="5" t="s">
        <v>10</v>
      </c>
      <c r="G831" s="5" t="s">
        <v>11</v>
      </c>
      <c r="H831" s="3" t="s">
        <v>1163</v>
      </c>
    </row>
    <row r="832" spans="1:8" ht="27.6" x14ac:dyDescent="0.25">
      <c r="A832" s="3" t="s">
        <v>1004</v>
      </c>
      <c r="B832" s="3" t="s">
        <v>1215</v>
      </c>
      <c r="C832" s="4" t="str">
        <f>HYPERLINK("http://www.rncp.cncp.gouv.fr/grand-public/visualisationFiche?format=fr&amp;fiche=6287","6287")</f>
        <v>6287</v>
      </c>
      <c r="D832" s="4" t="str">
        <f>HYPERLINK("http://www.intercariforef.org/formations/certification-53538.html","53538")</f>
        <v>53538</v>
      </c>
      <c r="E832" s="5">
        <v>144836</v>
      </c>
      <c r="F832" s="5" t="s">
        <v>10</v>
      </c>
      <c r="G832" s="5" t="s">
        <v>11</v>
      </c>
      <c r="H832" s="3" t="s">
        <v>750</v>
      </c>
    </row>
    <row r="833" spans="1:8" ht="13.8" x14ac:dyDescent="0.25">
      <c r="A833" s="3" t="s">
        <v>1004</v>
      </c>
      <c r="B833" s="3" t="s">
        <v>1216</v>
      </c>
      <c r="C833" s="4" t="str">
        <f>HYPERLINK("http://www.rncp.cncp.gouv.fr/grand-public/visualisationFiche?format=fr&amp;fiche=17828","17828")</f>
        <v>17828</v>
      </c>
      <c r="D833" s="4" t="str">
        <f>HYPERLINK("http://www.intercariforef.org/formations/certification-82145.html","82145")</f>
        <v>82145</v>
      </c>
      <c r="E833" s="5">
        <v>144842</v>
      </c>
      <c r="F833" s="5" t="s">
        <v>10</v>
      </c>
      <c r="G833" s="5" t="s">
        <v>11</v>
      </c>
      <c r="H833" s="3" t="s">
        <v>731</v>
      </c>
    </row>
    <row r="834" spans="1:8" ht="27.6" x14ac:dyDescent="0.25">
      <c r="A834" s="3" t="s">
        <v>1004</v>
      </c>
      <c r="B834" s="3" t="s">
        <v>1217</v>
      </c>
      <c r="C834" s="4" t="str">
        <f>HYPERLINK("http://www.rncp.cncp.gouv.fr/grand-public/visualisationFiche?format=fr&amp;fiche=3367","3367")</f>
        <v>3367</v>
      </c>
      <c r="D834" s="4" t="str">
        <f>HYPERLINK("http://www.intercariforef.org/formations/certification-16381.html","16381")</f>
        <v>16381</v>
      </c>
      <c r="E834" s="5">
        <v>3011</v>
      </c>
      <c r="F834" s="5" t="s">
        <v>10</v>
      </c>
      <c r="G834" s="5" t="s">
        <v>11</v>
      </c>
      <c r="H834" s="3" t="s">
        <v>1218</v>
      </c>
    </row>
    <row r="835" spans="1:8" ht="27.6" x14ac:dyDescent="0.25">
      <c r="A835" s="3" t="s">
        <v>1004</v>
      </c>
      <c r="B835" s="3" t="s">
        <v>1219</v>
      </c>
      <c r="C835" s="4" t="str">
        <f>HYPERLINK("http://www.rncp.cncp.gouv.fr/grand-public/visualisationFiche?format=fr&amp;fiche=16529","16529")</f>
        <v>16529</v>
      </c>
      <c r="D835" s="4" t="str">
        <f>HYPERLINK("http://www.intercariforef.org/formations/certification-58793.html","58793")</f>
        <v>58793</v>
      </c>
      <c r="E835" s="5">
        <v>144839</v>
      </c>
      <c r="F835" s="5" t="s">
        <v>10</v>
      </c>
      <c r="G835" s="5" t="s">
        <v>11</v>
      </c>
      <c r="H835" s="3" t="s">
        <v>813</v>
      </c>
    </row>
    <row r="836" spans="1:8" ht="27.6" x14ac:dyDescent="0.25">
      <c r="A836" s="3" t="s">
        <v>1004</v>
      </c>
      <c r="B836" s="3" t="s">
        <v>1220</v>
      </c>
      <c r="C836" s="4" t="str">
        <f>HYPERLINK("http://www.rncp.cncp.gouv.fr/grand-public/visualisationFiche?format=fr&amp;fiche=5414","5414")</f>
        <v>5414</v>
      </c>
      <c r="D836" s="4" t="str">
        <f>HYPERLINK("http://www.intercariforef.org/formations/certification-69822.html","69822")</f>
        <v>69822</v>
      </c>
      <c r="E836" s="5">
        <v>144841</v>
      </c>
      <c r="F836" s="5" t="s">
        <v>10</v>
      </c>
      <c r="G836" s="5" t="s">
        <v>11</v>
      </c>
      <c r="H836" s="3" t="s">
        <v>1221</v>
      </c>
    </row>
    <row r="837" spans="1:8" ht="27.6" x14ac:dyDescent="0.25">
      <c r="A837" s="3" t="s">
        <v>1004</v>
      </c>
      <c r="B837" s="3" t="s">
        <v>1222</v>
      </c>
      <c r="C837" s="4" t="str">
        <f>HYPERLINK("http://www.rncp.cncp.gouv.fr/grand-public/visualisationFiche?format=fr&amp;fiche=5378","5378")</f>
        <v>5378</v>
      </c>
      <c r="D837" s="4" t="str">
        <f>HYPERLINK("http://www.intercariforef.org/formations/certification-53884.html","53884")</f>
        <v>53884</v>
      </c>
      <c r="E837" s="5">
        <v>144838</v>
      </c>
      <c r="F837" s="5" t="s">
        <v>10</v>
      </c>
      <c r="G837" s="5" t="s">
        <v>11</v>
      </c>
      <c r="H837" s="3" t="s">
        <v>810</v>
      </c>
    </row>
    <row r="838" spans="1:8" ht="27.6" x14ac:dyDescent="0.25">
      <c r="A838" s="3" t="s">
        <v>1004</v>
      </c>
      <c r="B838" s="3" t="s">
        <v>1223</v>
      </c>
      <c r="C838" s="4" t="str">
        <f>HYPERLINK("http://www.rncp.cncp.gouv.fr/grand-public/visualisationFiche?format=fr&amp;fiche=12549","12549")</f>
        <v>12549</v>
      </c>
      <c r="D838" s="4" t="str">
        <f>HYPERLINK("http://www.intercariforef.org/formations/certification-75741.html","75741")</f>
        <v>75741</v>
      </c>
      <c r="E838" s="5">
        <v>3013</v>
      </c>
      <c r="F838" s="5" t="s">
        <v>10</v>
      </c>
      <c r="G838" s="5" t="s">
        <v>11</v>
      </c>
      <c r="H838" s="3" t="s">
        <v>771</v>
      </c>
    </row>
    <row r="839" spans="1:8" ht="27.6" x14ac:dyDescent="0.25">
      <c r="A839" s="3" t="s">
        <v>1004</v>
      </c>
      <c r="B839" s="3" t="s">
        <v>1224</v>
      </c>
      <c r="C839" s="5"/>
      <c r="D839" s="4" t="str">
        <f>HYPERLINK("http://www.intercariforef.org/formations/certification-71344.html","71344")</f>
        <v>71344</v>
      </c>
      <c r="E839" s="5">
        <v>3010</v>
      </c>
      <c r="F839" s="5" t="s">
        <v>10</v>
      </c>
      <c r="G839" s="5" t="s">
        <v>11</v>
      </c>
      <c r="H839" s="3" t="s">
        <v>1225</v>
      </c>
    </row>
    <row r="840" spans="1:8" ht="27.6" x14ac:dyDescent="0.25">
      <c r="A840" s="3" t="s">
        <v>1004</v>
      </c>
      <c r="B840" s="3" t="s">
        <v>1226</v>
      </c>
      <c r="C840" s="4" t="str">
        <f>HYPERLINK("http://www.rncp.cncp.gouv.fr/grand-public/visualisationFiche?format=fr&amp;fiche=10257","10257")</f>
        <v>10257</v>
      </c>
      <c r="D840" s="4" t="str">
        <f>HYPERLINK("http://www.intercariforef.org/formations/certification-59100.html","59100")</f>
        <v>59100</v>
      </c>
      <c r="E840" s="5">
        <v>3012</v>
      </c>
      <c r="F840" s="5" t="s">
        <v>10</v>
      </c>
      <c r="G840" s="5" t="s">
        <v>11</v>
      </c>
      <c r="H840" s="3" t="s">
        <v>763</v>
      </c>
    </row>
    <row r="841" spans="1:8" ht="13.8" x14ac:dyDescent="0.25">
      <c r="A841" s="3" t="s">
        <v>1004</v>
      </c>
      <c r="B841" s="3" t="s">
        <v>1227</v>
      </c>
      <c r="C841" s="4" t="str">
        <f>HYPERLINK("http://www.rncp.cncp.gouv.fr/grand-public/visualisationFiche?format=fr&amp;fiche=7609","7609")</f>
        <v>7609</v>
      </c>
      <c r="D841" s="4" t="str">
        <f>HYPERLINK("http://www.intercariforef.org/formations/certification-53539.html","53539")</f>
        <v>53539</v>
      </c>
      <c r="E841" s="5">
        <v>144837</v>
      </c>
      <c r="F841" s="5" t="s">
        <v>10</v>
      </c>
      <c r="G841" s="5" t="s">
        <v>11</v>
      </c>
      <c r="H841" s="3" t="s">
        <v>850</v>
      </c>
    </row>
    <row r="842" spans="1:8" ht="13.8" x14ac:dyDescent="0.25">
      <c r="A842" s="3" t="s">
        <v>1004</v>
      </c>
      <c r="B842" s="3" t="s">
        <v>1228</v>
      </c>
      <c r="C842" s="4" t="str">
        <f>HYPERLINK("http://www.rncp.cncp.gouv.fr/grand-public/visualisationFiche?format=fr&amp;fiche=18625","18625")</f>
        <v>18625</v>
      </c>
      <c r="D842" s="4" t="str">
        <f>HYPERLINK("http://www.intercariforef.org/formations/certification-68979.html","68979")</f>
        <v>68979</v>
      </c>
      <c r="E842" s="5">
        <v>144840</v>
      </c>
      <c r="F842" s="5" t="s">
        <v>10</v>
      </c>
      <c r="G842" s="5" t="s">
        <v>11</v>
      </c>
      <c r="H842" s="3" t="s">
        <v>731</v>
      </c>
    </row>
    <row r="843" spans="1:8" ht="27.6" x14ac:dyDescent="0.25">
      <c r="A843" s="3" t="s">
        <v>1004</v>
      </c>
      <c r="B843" s="3" t="s">
        <v>1229</v>
      </c>
      <c r="C843" s="4" t="str">
        <f>HYPERLINK("http://www.rncp.cncp.gouv.fr/grand-public/visualisationFiche?format=fr&amp;fiche=15533","15533")</f>
        <v>15533</v>
      </c>
      <c r="D843" s="4" t="str">
        <f>HYPERLINK("http://www.intercariforef.org/formations/certification-68893.html","68893")</f>
        <v>68893</v>
      </c>
      <c r="E843" s="5">
        <v>3053</v>
      </c>
      <c r="F843" s="5" t="s">
        <v>10</v>
      </c>
      <c r="G843" s="5" t="s">
        <v>11</v>
      </c>
      <c r="H843" s="3" t="s">
        <v>776</v>
      </c>
    </row>
    <row r="844" spans="1:8" ht="27.6" x14ac:dyDescent="0.25">
      <c r="A844" s="3" t="s">
        <v>1004</v>
      </c>
      <c r="B844" s="3" t="s">
        <v>1230</v>
      </c>
      <c r="C844" s="4" t="str">
        <f>HYPERLINK("http://www.rncp.cncp.gouv.fr/grand-public/visualisationFiche?format=fr&amp;fiche=19632","19632")</f>
        <v>19632</v>
      </c>
      <c r="D844" s="4" t="str">
        <f>HYPERLINK("http://www.intercariforef.org/formations/certification-79773.html","79773")</f>
        <v>79773</v>
      </c>
      <c r="E844" s="5">
        <v>16445</v>
      </c>
      <c r="F844" s="5" t="s">
        <v>10</v>
      </c>
      <c r="G844" s="5" t="s">
        <v>11</v>
      </c>
      <c r="H844" s="3" t="s">
        <v>750</v>
      </c>
    </row>
    <row r="845" spans="1:8" ht="27.6" x14ac:dyDescent="0.25">
      <c r="A845" s="3" t="s">
        <v>1004</v>
      </c>
      <c r="B845" s="3" t="s">
        <v>1231</v>
      </c>
      <c r="C845" s="4" t="str">
        <f>HYPERLINK("http://www.rncp.cncp.gouv.fr/grand-public/visualisationFiche?format=fr&amp;fiche=3603","3603")</f>
        <v>3603</v>
      </c>
      <c r="D845" s="4" t="str">
        <f>HYPERLINK("http://www.intercariforef.org/formations/certification-58104.html","58104")</f>
        <v>58104</v>
      </c>
      <c r="E845" s="5">
        <v>16444</v>
      </c>
      <c r="F845" s="5" t="s">
        <v>10</v>
      </c>
      <c r="G845" s="5" t="s">
        <v>11</v>
      </c>
      <c r="H845" s="3" t="s">
        <v>954</v>
      </c>
    </row>
    <row r="846" spans="1:8" ht="27.6" x14ac:dyDescent="0.25">
      <c r="A846" s="3" t="s">
        <v>1004</v>
      </c>
      <c r="B846" s="3" t="s">
        <v>1232</v>
      </c>
      <c r="C846" s="4" t="str">
        <f>HYPERLINK("http://www.rncp.cncp.gouv.fr/grand-public/visualisationFiche?format=fr&amp;fiche=3513","3513")</f>
        <v>3513</v>
      </c>
      <c r="D846" s="4" t="str">
        <f>HYPERLINK("http://www.intercariforef.org/formations/certification-16400.html","16400")</f>
        <v>16400</v>
      </c>
      <c r="E846" s="5">
        <v>3051</v>
      </c>
      <c r="F846" s="5" t="s">
        <v>10</v>
      </c>
      <c r="G846" s="5" t="s">
        <v>11</v>
      </c>
      <c r="H846" s="3" t="s">
        <v>788</v>
      </c>
    </row>
    <row r="847" spans="1:8" ht="27.6" x14ac:dyDescent="0.25">
      <c r="A847" s="3" t="s">
        <v>1004</v>
      </c>
      <c r="B847" s="3" t="s">
        <v>1233</v>
      </c>
      <c r="C847" s="4" t="str">
        <f>HYPERLINK("http://www.rncp.cncp.gouv.fr/grand-public/visualisationFiche?format=fr&amp;fiche=14463","14463")</f>
        <v>14463</v>
      </c>
      <c r="D847" s="4" t="str">
        <f>HYPERLINK("http://www.intercariforef.org/formations/certification-77344.html","77344")</f>
        <v>77344</v>
      </c>
      <c r="E847" s="5">
        <v>3054</v>
      </c>
      <c r="F847" s="5" t="s">
        <v>10</v>
      </c>
      <c r="G847" s="5" t="s">
        <v>11</v>
      </c>
      <c r="H847" s="3" t="s">
        <v>737</v>
      </c>
    </row>
    <row r="848" spans="1:8" ht="27.6" x14ac:dyDescent="0.25">
      <c r="A848" s="3" t="s">
        <v>1004</v>
      </c>
      <c r="B848" s="3" t="s">
        <v>1234</v>
      </c>
      <c r="C848" s="4" t="str">
        <f>HYPERLINK("http://www.rncp.cncp.gouv.fr/grand-public/visualisationFiche?format=fr&amp;fiche=11380","11380")</f>
        <v>11380</v>
      </c>
      <c r="D848" s="4" t="str">
        <f>HYPERLINK("http://www.intercariforef.org/formations/certification-68597.html","68597")</f>
        <v>68597</v>
      </c>
      <c r="E848" s="5">
        <v>3052</v>
      </c>
      <c r="F848" s="5" t="s">
        <v>10</v>
      </c>
      <c r="G848" s="5" t="s">
        <v>11</v>
      </c>
      <c r="H848" s="3" t="s">
        <v>722</v>
      </c>
    </row>
    <row r="849" spans="1:8" ht="13.8" x14ac:dyDescent="0.25">
      <c r="A849" s="3" t="s">
        <v>1004</v>
      </c>
      <c r="B849" s="3" t="s">
        <v>1235</v>
      </c>
      <c r="C849" s="4" t="str">
        <f>HYPERLINK("http://www.rncp.cncp.gouv.fr/grand-public/visualisationFiche?format=fr&amp;fiche=15510","15510")</f>
        <v>15510</v>
      </c>
      <c r="D849" s="4" t="str">
        <f>HYPERLINK("http://www.intercariforef.org/formations/certification-58785.html","58785")</f>
        <v>58785</v>
      </c>
      <c r="E849" s="5">
        <v>131731</v>
      </c>
      <c r="F849" s="5" t="s">
        <v>10</v>
      </c>
      <c r="G849" s="5" t="s">
        <v>11</v>
      </c>
      <c r="H849" s="3" t="s">
        <v>776</v>
      </c>
    </row>
    <row r="850" spans="1:8" ht="13.8" x14ac:dyDescent="0.25">
      <c r="A850" s="3" t="s">
        <v>1004</v>
      </c>
      <c r="B850" s="3" t="s">
        <v>1236</v>
      </c>
      <c r="C850" s="5"/>
      <c r="D850" s="4" t="str">
        <f>HYPERLINK("http://www.intercariforef.org/formations/certification-54506.html","54506")</f>
        <v>54506</v>
      </c>
      <c r="E850" s="5">
        <v>131728</v>
      </c>
      <c r="F850" s="5" t="s">
        <v>10</v>
      </c>
      <c r="G850" s="5" t="s">
        <v>11</v>
      </c>
      <c r="H850" s="3" t="s">
        <v>965</v>
      </c>
    </row>
    <row r="851" spans="1:8" ht="13.8" x14ac:dyDescent="0.25">
      <c r="A851" s="3" t="s">
        <v>1004</v>
      </c>
      <c r="B851" s="3" t="s">
        <v>1237</v>
      </c>
      <c r="C851" s="4" t="str">
        <f>HYPERLINK("http://www.rncp.cncp.gouv.fr/grand-public/visualisationFiche?format=fr&amp;fiche=17551","17551")</f>
        <v>17551</v>
      </c>
      <c r="D851" s="4" t="str">
        <f>HYPERLINK("http://www.intercariforef.org/formations/certification-50065.html","50065")</f>
        <v>50065</v>
      </c>
      <c r="E851" s="5">
        <v>131736</v>
      </c>
      <c r="F851" s="5" t="s">
        <v>10</v>
      </c>
      <c r="G851" s="5" t="s">
        <v>11</v>
      </c>
      <c r="H851" s="3" t="s">
        <v>801</v>
      </c>
    </row>
    <row r="852" spans="1:8" ht="13.8" x14ac:dyDescent="0.25">
      <c r="A852" s="3" t="s">
        <v>1004</v>
      </c>
      <c r="B852" s="3" t="s">
        <v>1238</v>
      </c>
      <c r="C852" s="4" t="str">
        <f>HYPERLINK("http://www.rncp.cncp.gouv.fr/grand-public/visualisationFiche?format=fr&amp;fiche=6402","6402")</f>
        <v>6402</v>
      </c>
      <c r="D852" s="4" t="str">
        <f>HYPERLINK("http://www.intercariforef.org/formations/certification-42423.html","42423")</f>
        <v>42423</v>
      </c>
      <c r="E852" s="5">
        <v>131729</v>
      </c>
      <c r="F852" s="5" t="s">
        <v>10</v>
      </c>
      <c r="G852" s="5" t="s">
        <v>11</v>
      </c>
      <c r="H852" s="3" t="s">
        <v>783</v>
      </c>
    </row>
    <row r="853" spans="1:8" ht="13.8" x14ac:dyDescent="0.25">
      <c r="A853" s="3" t="s">
        <v>1004</v>
      </c>
      <c r="B853" s="3" t="s">
        <v>1239</v>
      </c>
      <c r="C853" s="4" t="str">
        <f>HYPERLINK("http://www.rncp.cncp.gouv.fr/grand-public/visualisationFiche?format=fr&amp;fiche=6405","6405")</f>
        <v>6405</v>
      </c>
      <c r="D853" s="4" t="str">
        <f>HYPERLINK("http://www.intercariforef.org/formations/certification-69024.html","69024")</f>
        <v>69024</v>
      </c>
      <c r="E853" s="5">
        <v>3206</v>
      </c>
      <c r="F853" s="5" t="s">
        <v>10</v>
      </c>
      <c r="G853" s="5" t="s">
        <v>11</v>
      </c>
      <c r="H853" s="3" t="s">
        <v>783</v>
      </c>
    </row>
    <row r="854" spans="1:8" ht="13.8" x14ac:dyDescent="0.25">
      <c r="A854" s="3" t="s">
        <v>1004</v>
      </c>
      <c r="B854" s="3" t="s">
        <v>1239</v>
      </c>
      <c r="C854" s="4" t="str">
        <f>HYPERLINK("http://www.rncp.cncp.gouv.fr/grand-public/visualisationFiche?format=fr&amp;fiche=6296","6296")</f>
        <v>6296</v>
      </c>
      <c r="D854" s="4" t="str">
        <f>HYPERLINK("http://www.intercariforef.org/formations/certification-64765.html","64765")</f>
        <v>64765</v>
      </c>
      <c r="E854" s="5">
        <v>3204</v>
      </c>
      <c r="F854" s="5" t="s">
        <v>10</v>
      </c>
      <c r="G854" s="5" t="s">
        <v>11</v>
      </c>
      <c r="H854" s="3" t="s">
        <v>750</v>
      </c>
    </row>
    <row r="855" spans="1:8" ht="13.8" x14ac:dyDescent="0.25">
      <c r="A855" s="3" t="s">
        <v>1004</v>
      </c>
      <c r="B855" s="3" t="s">
        <v>1240</v>
      </c>
      <c r="C855" s="4" t="str">
        <f>HYPERLINK("http://www.rncp.cncp.gouv.fr/grand-public/visualisationFiche?format=fr&amp;fiche=3938","3938")</f>
        <v>3938</v>
      </c>
      <c r="D855" s="4" t="str">
        <f>HYPERLINK("http://www.intercariforef.org/formations/certification-60156.html","60156")</f>
        <v>60156</v>
      </c>
      <c r="E855" s="5">
        <v>131730</v>
      </c>
      <c r="F855" s="5" t="s">
        <v>10</v>
      </c>
      <c r="G855" s="5" t="s">
        <v>11</v>
      </c>
      <c r="H855" s="3" t="s">
        <v>733</v>
      </c>
    </row>
    <row r="856" spans="1:8" ht="27.6" x14ac:dyDescent="0.25">
      <c r="A856" s="3" t="s">
        <v>1004</v>
      </c>
      <c r="B856" s="3" t="s">
        <v>1241</v>
      </c>
      <c r="C856" s="4" t="str">
        <f>HYPERLINK("http://www.rncp.cncp.gouv.fr/grand-public/visualisationFiche?format=fr&amp;fiche=7076","7076")</f>
        <v>7076</v>
      </c>
      <c r="D856" s="4" t="str">
        <f>HYPERLINK("http://www.intercariforef.org/formations/certification-58783.html","58783")</f>
        <v>58783</v>
      </c>
      <c r="E856" s="5">
        <v>3203</v>
      </c>
      <c r="F856" s="5" t="s">
        <v>10</v>
      </c>
      <c r="G856" s="5" t="s">
        <v>11</v>
      </c>
      <c r="H856" s="3" t="s">
        <v>739</v>
      </c>
    </row>
    <row r="857" spans="1:8" ht="13.8" x14ac:dyDescent="0.25">
      <c r="A857" s="3" t="s">
        <v>1004</v>
      </c>
      <c r="B857" s="3" t="s">
        <v>1242</v>
      </c>
      <c r="C857" s="4" t="str">
        <f>HYPERLINK("http://www.rncp.cncp.gouv.fr/grand-public/visualisationFiche?format=fr&amp;fiche=16897","16897")</f>
        <v>16897</v>
      </c>
      <c r="D857" s="4" t="str">
        <f>HYPERLINK("http://www.intercariforef.org/formations/certification-82513.html","82513")</f>
        <v>82513</v>
      </c>
      <c r="E857" s="5">
        <v>3090</v>
      </c>
      <c r="F857" s="5" t="s">
        <v>10</v>
      </c>
      <c r="G857" s="5" t="s">
        <v>11</v>
      </c>
      <c r="H857" s="3" t="s">
        <v>880</v>
      </c>
    </row>
    <row r="858" spans="1:8" ht="13.8" x14ac:dyDescent="0.25">
      <c r="A858" s="3" t="s">
        <v>1004</v>
      </c>
      <c r="B858" s="3" t="s">
        <v>1243</v>
      </c>
      <c r="C858" s="5"/>
      <c r="D858" s="4" t="str">
        <f>HYPERLINK("http://www.intercariforef.org/formations/certification-76318.html","76318")</f>
        <v>76318</v>
      </c>
      <c r="E858" s="5">
        <v>3207</v>
      </c>
      <c r="F858" s="5" t="s">
        <v>10</v>
      </c>
      <c r="G858" s="5" t="s">
        <v>11</v>
      </c>
      <c r="H858" s="3" t="s">
        <v>954</v>
      </c>
    </row>
    <row r="859" spans="1:8" ht="13.8" x14ac:dyDescent="0.25">
      <c r="A859" s="3" t="s">
        <v>1004</v>
      </c>
      <c r="B859" s="3" t="s">
        <v>1243</v>
      </c>
      <c r="C859" s="4" t="str">
        <f>HYPERLINK("http://www.rncp.cncp.gouv.fr/grand-public/visualisationFiche?format=fr&amp;fiche=3954","3954")</f>
        <v>3954</v>
      </c>
      <c r="D859" s="4" t="str">
        <f>HYPERLINK("http://www.intercariforef.org/formations/certification-64704.html","64704")</f>
        <v>64704</v>
      </c>
      <c r="E859" s="5">
        <v>16446</v>
      </c>
      <c r="F859" s="5" t="s">
        <v>10</v>
      </c>
      <c r="G859" s="5" t="s">
        <v>11</v>
      </c>
      <c r="H859" s="3" t="s">
        <v>756</v>
      </c>
    </row>
    <row r="860" spans="1:8" ht="27.6" x14ac:dyDescent="0.25">
      <c r="A860" s="3" t="s">
        <v>1004</v>
      </c>
      <c r="B860" s="3" t="s">
        <v>1244</v>
      </c>
      <c r="C860" s="5"/>
      <c r="D860" s="4" t="str">
        <f>HYPERLINK("http://www.intercariforef.org/formations/certification-64703.html","64703")</f>
        <v>64703</v>
      </c>
      <c r="E860" s="5">
        <v>3107</v>
      </c>
      <c r="F860" s="5" t="s">
        <v>10</v>
      </c>
      <c r="G860" s="5" t="s">
        <v>11</v>
      </c>
      <c r="H860" s="3" t="s">
        <v>810</v>
      </c>
    </row>
    <row r="861" spans="1:8" ht="13.8" x14ac:dyDescent="0.25">
      <c r="A861" s="3" t="s">
        <v>1004</v>
      </c>
      <c r="B861" s="3" t="s">
        <v>1245</v>
      </c>
      <c r="C861" s="5"/>
      <c r="D861" s="4" t="str">
        <f>HYPERLINK("http://www.intercariforef.org/formations/certification-59003.html","59003")</f>
        <v>59003</v>
      </c>
      <c r="E861" s="5">
        <v>162366</v>
      </c>
      <c r="F861" s="5" t="s">
        <v>10</v>
      </c>
      <c r="G861" s="5" t="s">
        <v>11</v>
      </c>
      <c r="H861" s="3" t="s">
        <v>1246</v>
      </c>
    </row>
    <row r="862" spans="1:8" ht="13.8" x14ac:dyDescent="0.25">
      <c r="A862" s="3" t="s">
        <v>1004</v>
      </c>
      <c r="B862" s="3" t="s">
        <v>1247</v>
      </c>
      <c r="C862" s="5"/>
      <c r="D862" s="4" t="str">
        <f>HYPERLINK("http://www.intercariforef.org/formations/certification-64707.html","64707")</f>
        <v>64707</v>
      </c>
      <c r="E862" s="5">
        <v>3092</v>
      </c>
      <c r="F862" s="5" t="s">
        <v>10</v>
      </c>
      <c r="G862" s="5" t="s">
        <v>11</v>
      </c>
      <c r="H862" s="3" t="s">
        <v>1163</v>
      </c>
    </row>
    <row r="863" spans="1:8" ht="13.8" x14ac:dyDescent="0.25">
      <c r="A863" s="3" t="s">
        <v>1004</v>
      </c>
      <c r="B863" s="3" t="s">
        <v>1247</v>
      </c>
      <c r="C863" s="4" t="str">
        <f>HYPERLINK("http://www.rncp.cncp.gouv.fr/grand-public/visualisationFiche?format=fr&amp;fiche=11131","11131")</f>
        <v>11131</v>
      </c>
      <c r="D863" s="4" t="str">
        <f>HYPERLINK("http://www.intercariforef.org/formations/certification-77909.html","77909")</f>
        <v>77909</v>
      </c>
      <c r="E863" s="5">
        <v>16447</v>
      </c>
      <c r="F863" s="5" t="s">
        <v>10</v>
      </c>
      <c r="G863" s="5" t="s">
        <v>11</v>
      </c>
      <c r="H863" s="3" t="s">
        <v>758</v>
      </c>
    </row>
    <row r="864" spans="1:8" ht="13.8" x14ac:dyDescent="0.25">
      <c r="A864" s="3" t="s">
        <v>1004</v>
      </c>
      <c r="B864" s="3" t="s">
        <v>1247</v>
      </c>
      <c r="C864" s="4" t="str">
        <f>HYPERLINK("http://www.rncp.cncp.gouv.fr/grand-public/visualisationFiche?format=fr&amp;fiche=22013","22013")</f>
        <v>22013</v>
      </c>
      <c r="D864" s="4" t="str">
        <f>HYPERLINK("http://www.intercariforef.org/formations/certification-64708.html","64708")</f>
        <v>64708</v>
      </c>
      <c r="E864" s="5">
        <v>3091</v>
      </c>
      <c r="F864" s="5" t="s">
        <v>10</v>
      </c>
      <c r="G864" s="5" t="s">
        <v>11</v>
      </c>
      <c r="H864" s="3" t="s">
        <v>538</v>
      </c>
    </row>
    <row r="865" spans="1:8" ht="27.6" x14ac:dyDescent="0.25">
      <c r="A865" s="3" t="s">
        <v>1004</v>
      </c>
      <c r="B865" s="3" t="s">
        <v>1248</v>
      </c>
      <c r="C865" s="4" t="str">
        <f>HYPERLINK("http://www.rncp.cncp.gouv.fr/grand-public/visualisationFiche?format=fr&amp;fiche=14902","14902")</f>
        <v>14902</v>
      </c>
      <c r="D865" s="4" t="str">
        <f>HYPERLINK("http://www.intercariforef.org/formations/certification-79877.html","79877")</f>
        <v>79877</v>
      </c>
      <c r="E865" s="5">
        <v>3064</v>
      </c>
      <c r="F865" s="5" t="s">
        <v>10</v>
      </c>
      <c r="G865" s="5" t="s">
        <v>11</v>
      </c>
      <c r="H865" s="3" t="s">
        <v>892</v>
      </c>
    </row>
    <row r="866" spans="1:8" ht="27.6" x14ac:dyDescent="0.25">
      <c r="A866" s="3" t="s">
        <v>1004</v>
      </c>
      <c r="B866" s="3" t="s">
        <v>1249</v>
      </c>
      <c r="C866" s="5"/>
      <c r="D866" s="4" t="str">
        <f>HYPERLINK("http://www.intercariforef.org/formations/certification-71502.html","71502")</f>
        <v>71502</v>
      </c>
      <c r="E866" s="5">
        <v>16451</v>
      </c>
      <c r="F866" s="5" t="s">
        <v>10</v>
      </c>
      <c r="G866" s="5" t="s">
        <v>11</v>
      </c>
      <c r="H866" s="3" t="s">
        <v>779</v>
      </c>
    </row>
    <row r="867" spans="1:8" ht="13.8" x14ac:dyDescent="0.25">
      <c r="A867" s="3" t="s">
        <v>1004</v>
      </c>
      <c r="B867" s="3" t="s">
        <v>1250</v>
      </c>
      <c r="C867" s="4" t="str">
        <f>HYPERLINK("http://www.rncp.cncp.gouv.fr/grand-public/visualisationFiche?format=fr&amp;fiche=12165","12165")</f>
        <v>12165</v>
      </c>
      <c r="D867" s="4" t="str">
        <f>HYPERLINK("http://www.intercariforef.org/formations/certification-64311.html","64311")</f>
        <v>64311</v>
      </c>
      <c r="E867" s="5">
        <v>131743</v>
      </c>
      <c r="F867" s="5" t="s">
        <v>10</v>
      </c>
      <c r="G867" s="5" t="s">
        <v>11</v>
      </c>
      <c r="H867" s="3" t="s">
        <v>763</v>
      </c>
    </row>
    <row r="868" spans="1:8" ht="13.8" x14ac:dyDescent="0.25">
      <c r="A868" s="3" t="s">
        <v>1004</v>
      </c>
      <c r="B868" s="3" t="s">
        <v>1251</v>
      </c>
      <c r="C868" s="4" t="str">
        <f>HYPERLINK("http://www.rncp.cncp.gouv.fr/grand-public/visualisationFiche?format=fr&amp;fiche=3854","3854")</f>
        <v>3854</v>
      </c>
      <c r="D868" s="4" t="str">
        <f>HYPERLINK("http://www.intercariforef.org/formations/certification-77795.html","77795")</f>
        <v>77795</v>
      </c>
      <c r="E868" s="5">
        <v>3208</v>
      </c>
      <c r="F868" s="5" t="s">
        <v>10</v>
      </c>
      <c r="G868" s="5" t="s">
        <v>11</v>
      </c>
      <c r="H868" s="3" t="s">
        <v>774</v>
      </c>
    </row>
    <row r="869" spans="1:8" ht="27.6" x14ac:dyDescent="0.25">
      <c r="A869" s="3" t="s">
        <v>1004</v>
      </c>
      <c r="B869" s="3" t="s">
        <v>1252</v>
      </c>
      <c r="C869" s="4" t="str">
        <f>HYPERLINK("http://www.rncp.cncp.gouv.fr/grand-public/visualisationFiche?format=fr&amp;fiche=4154","4154")</f>
        <v>4154</v>
      </c>
      <c r="D869" s="4" t="str">
        <f>HYPERLINK("http://www.intercariforef.org/formations/certification-71477.html","71477")</f>
        <v>71477</v>
      </c>
      <c r="E869" s="5">
        <v>3096</v>
      </c>
      <c r="F869" s="5" t="s">
        <v>10</v>
      </c>
      <c r="G869" s="5" t="s">
        <v>11</v>
      </c>
      <c r="H869" s="3" t="s">
        <v>753</v>
      </c>
    </row>
    <row r="870" spans="1:8" ht="27.6" x14ac:dyDescent="0.25">
      <c r="A870" s="3" t="s">
        <v>1004</v>
      </c>
      <c r="B870" s="3" t="s">
        <v>1253</v>
      </c>
      <c r="C870" s="4" t="str">
        <f>HYPERLINK("http://www.rncp.cncp.gouv.fr/grand-public/visualisationFiche?format=fr&amp;fiche=10229","10229")</f>
        <v>10229</v>
      </c>
      <c r="D870" s="4" t="str">
        <f>HYPERLINK("http://www.intercariforef.org/formations/certification-64713.html","64713")</f>
        <v>64713</v>
      </c>
      <c r="E870" s="5">
        <v>3438</v>
      </c>
      <c r="F870" s="5" t="s">
        <v>10</v>
      </c>
      <c r="G870" s="5" t="s">
        <v>11</v>
      </c>
      <c r="H870" s="3" t="s">
        <v>763</v>
      </c>
    </row>
    <row r="871" spans="1:8" ht="27.6" x14ac:dyDescent="0.25">
      <c r="A871" s="3" t="s">
        <v>1004</v>
      </c>
      <c r="B871" s="3" t="s">
        <v>1254</v>
      </c>
      <c r="C871" s="4" t="str">
        <f>HYPERLINK("http://www.rncp.cncp.gouv.fr/grand-public/visualisationFiche?format=fr&amp;fiche=14717","14717")</f>
        <v>14717</v>
      </c>
      <c r="D871" s="4" t="str">
        <f>HYPERLINK("http://www.intercariforef.org/formations/certification-78646.html","78646")</f>
        <v>78646</v>
      </c>
      <c r="E871" s="5">
        <v>131732</v>
      </c>
      <c r="F871" s="5" t="s">
        <v>10</v>
      </c>
      <c r="G871" s="5" t="s">
        <v>11</v>
      </c>
      <c r="H871" s="3" t="s">
        <v>34</v>
      </c>
    </row>
    <row r="872" spans="1:8" ht="13.8" x14ac:dyDescent="0.25">
      <c r="A872" s="3" t="s">
        <v>1004</v>
      </c>
      <c r="B872" s="3" t="s">
        <v>1255</v>
      </c>
      <c r="C872" s="4" t="str">
        <f>HYPERLINK("http://www.rncp.cncp.gouv.fr/grand-public/visualisationFiche?format=fr&amp;fiche=13097","13097")</f>
        <v>13097</v>
      </c>
      <c r="D872" s="4" t="str">
        <f>HYPERLINK("http://www.intercariforef.org/formations/certification-64710.html","64710")</f>
        <v>64710</v>
      </c>
      <c r="E872" s="5">
        <v>3439</v>
      </c>
      <c r="F872" s="5" t="s">
        <v>10</v>
      </c>
      <c r="G872" s="5" t="s">
        <v>11</v>
      </c>
      <c r="H872" s="3" t="s">
        <v>742</v>
      </c>
    </row>
    <row r="873" spans="1:8" ht="27.6" x14ac:dyDescent="0.25">
      <c r="A873" s="3" t="s">
        <v>1004</v>
      </c>
      <c r="B873" s="3" t="s">
        <v>1256</v>
      </c>
      <c r="C873" s="4" t="str">
        <f>HYPERLINK("http://www.rncp.cncp.gouv.fr/grand-public/visualisationFiche?format=fr&amp;fiche=19507","19507")</f>
        <v>19507</v>
      </c>
      <c r="D873" s="4" t="str">
        <f>HYPERLINK("http://www.intercariforef.org/formations/certification-42425.html","42425")</f>
        <v>42425</v>
      </c>
      <c r="E873" s="5">
        <v>162367</v>
      </c>
      <c r="F873" s="5" t="s">
        <v>10</v>
      </c>
      <c r="G873" s="5" t="s">
        <v>11</v>
      </c>
      <c r="H873" s="3" t="s">
        <v>1209</v>
      </c>
    </row>
    <row r="874" spans="1:8" ht="13.8" x14ac:dyDescent="0.25">
      <c r="A874" s="3" t="s">
        <v>1004</v>
      </c>
      <c r="B874" s="3" t="s">
        <v>1257</v>
      </c>
      <c r="C874" s="4" t="str">
        <f>HYPERLINK("http://www.rncp.cncp.gouv.fr/grand-public/visualisationFiche?format=fr&amp;fiche=11189","11189")</f>
        <v>11189</v>
      </c>
      <c r="D874" s="4" t="str">
        <f>HYPERLINK("http://www.intercariforef.org/formations/certification-64911.html","64911")</f>
        <v>64911</v>
      </c>
      <c r="E874" s="5">
        <v>3205</v>
      </c>
      <c r="F874" s="5" t="s">
        <v>10</v>
      </c>
      <c r="G874" s="5" t="s">
        <v>11</v>
      </c>
      <c r="H874" s="3" t="s">
        <v>934</v>
      </c>
    </row>
    <row r="875" spans="1:8" ht="27.6" x14ac:dyDescent="0.25">
      <c r="A875" s="3" t="s">
        <v>1004</v>
      </c>
      <c r="B875" s="3" t="s">
        <v>1258</v>
      </c>
      <c r="C875" s="4" t="str">
        <f>HYPERLINK("http://www.rncp.cncp.gouv.fr/grand-public/visualisationFiche?format=fr&amp;fiche=21190","21190")</f>
        <v>21190</v>
      </c>
      <c r="D875" s="4" t="str">
        <f>HYPERLINK("http://www.intercariforef.org/formations/certification-71343.html","71343")</f>
        <v>71343</v>
      </c>
      <c r="E875" s="5">
        <v>3201</v>
      </c>
      <c r="F875" s="5" t="s">
        <v>10</v>
      </c>
      <c r="G875" s="5" t="s">
        <v>11</v>
      </c>
      <c r="H875" s="3" t="s">
        <v>1259</v>
      </c>
    </row>
    <row r="876" spans="1:8" ht="13.8" x14ac:dyDescent="0.25">
      <c r="A876" s="3" t="s">
        <v>1004</v>
      </c>
      <c r="B876" s="3" t="s">
        <v>1260</v>
      </c>
      <c r="C876" s="4" t="str">
        <f>HYPERLINK("http://www.rncp.cncp.gouv.fr/grand-public/visualisationFiche?format=fr&amp;fiche=4786","4786")</f>
        <v>4786</v>
      </c>
      <c r="D876" s="4" t="str">
        <f>HYPERLINK("http://www.intercariforef.org/formations/certification-54987.html","54987")</f>
        <v>54987</v>
      </c>
      <c r="E876" s="5">
        <v>3202</v>
      </c>
      <c r="F876" s="5" t="s">
        <v>10</v>
      </c>
      <c r="G876" s="5" t="s">
        <v>11</v>
      </c>
      <c r="H876" s="3" t="s">
        <v>899</v>
      </c>
    </row>
    <row r="877" spans="1:8" ht="27.6" x14ac:dyDescent="0.25">
      <c r="A877" s="3" t="s">
        <v>1004</v>
      </c>
      <c r="B877" s="3" t="s">
        <v>1261</v>
      </c>
      <c r="C877" s="4" t="str">
        <f>HYPERLINK("http://www.rncp.cncp.gouv.fr/grand-public/visualisationFiche?format=fr&amp;fiche=9708","9708")</f>
        <v>9708</v>
      </c>
      <c r="D877" s="4" t="str">
        <f>HYPERLINK("http://www.intercariforef.org/formations/certification-17016.html","17016")</f>
        <v>17016</v>
      </c>
      <c r="E877" s="5">
        <v>131733</v>
      </c>
      <c r="F877" s="5" t="s">
        <v>10</v>
      </c>
      <c r="G877" s="5" t="s">
        <v>11</v>
      </c>
      <c r="H877" s="3" t="s">
        <v>1262</v>
      </c>
    </row>
    <row r="878" spans="1:8" ht="13.8" x14ac:dyDescent="0.25">
      <c r="A878" s="3" t="s">
        <v>1004</v>
      </c>
      <c r="B878" s="3" t="s">
        <v>1263</v>
      </c>
      <c r="C878" s="4" t="str">
        <f>HYPERLINK("http://www.rncp.cncp.gouv.fr/grand-public/visualisationFiche?format=fr&amp;fiche=17942","17942")</f>
        <v>17942</v>
      </c>
      <c r="D878" s="4" t="str">
        <f>HYPERLINK("http://www.intercariforef.org/formations/certification-16455.html","16455")</f>
        <v>16455</v>
      </c>
      <c r="E878" s="5">
        <v>3106</v>
      </c>
      <c r="F878" s="5" t="s">
        <v>10</v>
      </c>
      <c r="G878" s="5" t="s">
        <v>11</v>
      </c>
      <c r="H878" s="3" t="s">
        <v>731</v>
      </c>
    </row>
    <row r="879" spans="1:8" ht="27.6" x14ac:dyDescent="0.25">
      <c r="A879" s="3" t="s">
        <v>1004</v>
      </c>
      <c r="B879" s="3" t="s">
        <v>1264</v>
      </c>
      <c r="C879" s="5"/>
      <c r="D879" s="4" t="str">
        <f>HYPERLINK("http://www.intercariforef.org/formations/certification-83321.html","83321")</f>
        <v>83321</v>
      </c>
      <c r="E879" s="5">
        <v>162458</v>
      </c>
      <c r="F879" s="5" t="s">
        <v>10</v>
      </c>
      <c r="G879" s="5" t="s">
        <v>11</v>
      </c>
      <c r="H879" s="3" t="s">
        <v>1163</v>
      </c>
    </row>
    <row r="880" spans="1:8" ht="27.6" x14ac:dyDescent="0.25">
      <c r="A880" s="3" t="s">
        <v>1004</v>
      </c>
      <c r="B880" s="3" t="s">
        <v>1265</v>
      </c>
      <c r="C880" s="4" t="str">
        <f>HYPERLINK("http://www.rncp.cncp.gouv.fr/grand-public/visualisationFiche?format=fr&amp;fiche=3179","3179")</f>
        <v>3179</v>
      </c>
      <c r="D880" s="4" t="str">
        <f>HYPERLINK("http://www.intercariforef.org/formations/certification-59264.html","59264")</f>
        <v>59264</v>
      </c>
      <c r="E880" s="5">
        <v>131734</v>
      </c>
      <c r="F880" s="5" t="s">
        <v>10</v>
      </c>
      <c r="G880" s="5" t="s">
        <v>11</v>
      </c>
      <c r="H880" s="3" t="s">
        <v>880</v>
      </c>
    </row>
    <row r="881" spans="1:8" ht="27.6" x14ac:dyDescent="0.25">
      <c r="A881" s="3" t="s">
        <v>1004</v>
      </c>
      <c r="B881" s="3" t="s">
        <v>1266</v>
      </c>
      <c r="C881" s="5"/>
      <c r="D881" s="4" t="str">
        <f>HYPERLINK("http://www.intercariforef.org/formations/certification-59305.html","59305")</f>
        <v>59305</v>
      </c>
      <c r="E881" s="5">
        <v>162457</v>
      </c>
      <c r="F881" s="5" t="s">
        <v>10</v>
      </c>
      <c r="G881" s="5" t="s">
        <v>11</v>
      </c>
      <c r="H881" s="3" t="s">
        <v>786</v>
      </c>
    </row>
    <row r="882" spans="1:8" ht="13.8" x14ac:dyDescent="0.25">
      <c r="A882" s="3" t="s">
        <v>1004</v>
      </c>
      <c r="B882" s="3" t="s">
        <v>1267</v>
      </c>
      <c r="C882" s="4" t="str">
        <f>HYPERLINK("http://www.rncp.cncp.gouv.fr/grand-public/visualisationFiche?format=fr&amp;fiche=11105","11105")</f>
        <v>11105</v>
      </c>
      <c r="D882" s="4" t="str">
        <f>HYPERLINK("http://www.intercariforef.org/formations/certification-42433.html","42433")</f>
        <v>42433</v>
      </c>
      <c r="E882" s="5">
        <v>131735</v>
      </c>
      <c r="F882" s="5" t="s">
        <v>10</v>
      </c>
      <c r="G882" s="5" t="s">
        <v>11</v>
      </c>
      <c r="H882" s="3" t="s">
        <v>734</v>
      </c>
    </row>
    <row r="883" spans="1:8" ht="13.8" x14ac:dyDescent="0.25">
      <c r="A883" s="3" t="s">
        <v>1004</v>
      </c>
      <c r="B883" s="3" t="s">
        <v>1268</v>
      </c>
      <c r="C883" s="5"/>
      <c r="D883" s="4" t="str">
        <f>HYPERLINK("http://www.intercariforef.org/formations/certification-71408.html","71408")</f>
        <v>71408</v>
      </c>
      <c r="E883" s="5">
        <v>3224</v>
      </c>
      <c r="F883" s="5" t="s">
        <v>10</v>
      </c>
      <c r="G883" s="5" t="s">
        <v>11</v>
      </c>
      <c r="H883" s="3" t="s">
        <v>934</v>
      </c>
    </row>
    <row r="884" spans="1:8" ht="27.6" x14ac:dyDescent="0.25">
      <c r="A884" s="3" t="s">
        <v>1004</v>
      </c>
      <c r="B884" s="3" t="s">
        <v>1269</v>
      </c>
      <c r="C884" s="4" t="str">
        <f>HYPERLINK("http://www.rncp.cncp.gouv.fr/grand-public/visualisationFiche?format=fr&amp;fiche=10925","10925")</f>
        <v>10925</v>
      </c>
      <c r="D884" s="4" t="str">
        <f>HYPERLINK("http://www.intercariforef.org/formations/certification-59996.html","59996")</f>
        <v>59996</v>
      </c>
      <c r="E884" s="5">
        <v>3253</v>
      </c>
      <c r="F884" s="5" t="s">
        <v>10</v>
      </c>
      <c r="G884" s="5" t="s">
        <v>11</v>
      </c>
      <c r="H884" s="3" t="s">
        <v>733</v>
      </c>
    </row>
    <row r="885" spans="1:8" ht="27.6" x14ac:dyDescent="0.25">
      <c r="A885" s="3" t="s">
        <v>1004</v>
      </c>
      <c r="B885" s="3" t="s">
        <v>1270</v>
      </c>
      <c r="C885" s="4" t="str">
        <f>HYPERLINK("http://www.rncp.cncp.gouv.fr/grand-public/visualisationFiche?format=fr&amp;fiche=17319","17319")</f>
        <v>17319</v>
      </c>
      <c r="D885" s="4" t="str">
        <f>HYPERLINK("http://www.intercariforef.org/formations/certification-68894.html","68894")</f>
        <v>68894</v>
      </c>
      <c r="E885" s="5">
        <v>19283</v>
      </c>
      <c r="F885" s="5" t="s">
        <v>10</v>
      </c>
      <c r="G885" s="5" t="s">
        <v>11</v>
      </c>
      <c r="H885" s="3" t="s">
        <v>785</v>
      </c>
    </row>
    <row r="886" spans="1:8" ht="27.6" x14ac:dyDescent="0.25">
      <c r="A886" s="3" t="s">
        <v>1004</v>
      </c>
      <c r="B886" s="3" t="s">
        <v>1271</v>
      </c>
      <c r="C886" s="4" t="str">
        <f>HYPERLINK("http://www.rncp.cncp.gouv.fr/grand-public/visualisationFiche?format=fr&amp;fiche=12340","12340")</f>
        <v>12340</v>
      </c>
      <c r="D886" s="4" t="str">
        <f>HYPERLINK("http://www.intercariforef.org/formations/certification-68865.html","68865")</f>
        <v>68865</v>
      </c>
      <c r="E886" s="5">
        <v>3251</v>
      </c>
      <c r="F886" s="5" t="s">
        <v>10</v>
      </c>
      <c r="G886" s="5" t="s">
        <v>11</v>
      </c>
      <c r="H886" s="3" t="s">
        <v>892</v>
      </c>
    </row>
    <row r="887" spans="1:8" ht="27.6" x14ac:dyDescent="0.25">
      <c r="A887" s="3" t="s">
        <v>1004</v>
      </c>
      <c r="B887" s="3" t="s">
        <v>1272</v>
      </c>
      <c r="C887" s="4" t="str">
        <f>HYPERLINK("http://www.rncp.cncp.gouv.fr/grand-public/visualisationFiche?format=fr&amp;fiche=14786","14786")</f>
        <v>14786</v>
      </c>
      <c r="D887" s="4" t="str">
        <f>HYPERLINK("http://www.intercariforef.org/formations/certification-58697.html","58697")</f>
        <v>58697</v>
      </c>
      <c r="E887" s="5">
        <v>17432</v>
      </c>
      <c r="F887" s="5" t="s">
        <v>10</v>
      </c>
      <c r="G887" s="5" t="s">
        <v>11</v>
      </c>
      <c r="H887" s="3" t="s">
        <v>905</v>
      </c>
    </row>
    <row r="888" spans="1:8" ht="27.6" x14ac:dyDescent="0.25">
      <c r="A888" s="3" t="s">
        <v>1004</v>
      </c>
      <c r="B888" s="3" t="s">
        <v>1273</v>
      </c>
      <c r="C888" s="4" t="str">
        <f>HYPERLINK("http://www.rncp.cncp.gouv.fr/grand-public/visualisationFiche?format=fr&amp;fiche=7013","7013")</f>
        <v>7013</v>
      </c>
      <c r="D888" s="4" t="str">
        <f>HYPERLINK("http://www.intercariforef.org/formations/certification-59204.html","59204")</f>
        <v>59204</v>
      </c>
      <c r="E888" s="5">
        <v>3252</v>
      </c>
      <c r="F888" s="5" t="s">
        <v>10</v>
      </c>
      <c r="G888" s="5" t="s">
        <v>11</v>
      </c>
      <c r="H888" s="3" t="s">
        <v>801</v>
      </c>
    </row>
    <row r="889" spans="1:8" ht="27.6" x14ac:dyDescent="0.25">
      <c r="A889" s="3" t="s">
        <v>1004</v>
      </c>
      <c r="B889" s="3" t="s">
        <v>1274</v>
      </c>
      <c r="C889" s="4" t="str">
        <f>HYPERLINK("http://www.rncp.cncp.gouv.fr/grand-public/visualisationFiche?format=fr&amp;fiche=5513","5513")</f>
        <v>5513</v>
      </c>
      <c r="D889" s="4" t="str">
        <f>HYPERLINK("http://www.intercariforef.org/formations/certification-54359.html","54359")</f>
        <v>54359</v>
      </c>
      <c r="E889" s="5">
        <v>3246</v>
      </c>
      <c r="F889" s="5" t="s">
        <v>10</v>
      </c>
      <c r="G889" s="5" t="s">
        <v>11</v>
      </c>
      <c r="H889" s="3" t="s">
        <v>963</v>
      </c>
    </row>
    <row r="890" spans="1:8" ht="27.6" x14ac:dyDescent="0.25">
      <c r="A890" s="3" t="s">
        <v>1004</v>
      </c>
      <c r="B890" s="3" t="s">
        <v>1275</v>
      </c>
      <c r="C890" s="4" t="str">
        <f>HYPERLINK("http://www.rncp.cncp.gouv.fr/grand-public/visualisationFiche?format=fr&amp;fiche=14752","14752")</f>
        <v>14752</v>
      </c>
      <c r="D890" s="4" t="str">
        <f>HYPERLINK("http://www.intercariforef.org/formations/certification-77286.html","77286")</f>
        <v>77286</v>
      </c>
      <c r="E890" s="5">
        <v>16449</v>
      </c>
      <c r="F890" s="5" t="s">
        <v>10</v>
      </c>
      <c r="G890" s="5" t="s">
        <v>11</v>
      </c>
      <c r="H890" s="3" t="s">
        <v>742</v>
      </c>
    </row>
    <row r="891" spans="1:8" ht="27.6" x14ac:dyDescent="0.25">
      <c r="A891" s="3" t="s">
        <v>1004</v>
      </c>
      <c r="B891" s="3" t="s">
        <v>1276</v>
      </c>
      <c r="C891" s="4" t="str">
        <f>HYPERLINK("http://www.rncp.cncp.gouv.fr/grand-public/visualisationFiche?format=fr&amp;fiche=3291","3291")</f>
        <v>3291</v>
      </c>
      <c r="D891" s="4" t="str">
        <f>HYPERLINK("http://www.intercariforef.org/formations/certification-16475.html","16475")</f>
        <v>16475</v>
      </c>
      <c r="E891" s="5">
        <v>3262</v>
      </c>
      <c r="F891" s="5" t="s">
        <v>10</v>
      </c>
      <c r="G891" s="5" t="s">
        <v>11</v>
      </c>
      <c r="H891" s="3" t="s">
        <v>965</v>
      </c>
    </row>
    <row r="892" spans="1:8" ht="27.6" x14ac:dyDescent="0.25">
      <c r="A892" s="3" t="s">
        <v>1004</v>
      </c>
      <c r="B892" s="3" t="s">
        <v>1277</v>
      </c>
      <c r="C892" s="4" t="str">
        <f>HYPERLINK("http://www.rncp.cncp.gouv.fr/grand-public/visualisationFiche?format=fr&amp;fiche=6242","6242")</f>
        <v>6242</v>
      </c>
      <c r="D892" s="4" t="str">
        <f>HYPERLINK("http://www.intercariforef.org/formations/certification-59251.html","59251")</f>
        <v>59251</v>
      </c>
      <c r="E892" s="5">
        <v>3263</v>
      </c>
      <c r="F892" s="5" t="s">
        <v>10</v>
      </c>
      <c r="G892" s="5" t="s">
        <v>11</v>
      </c>
      <c r="H892" s="3" t="s">
        <v>880</v>
      </c>
    </row>
    <row r="893" spans="1:8" ht="13.8" x14ac:dyDescent="0.25">
      <c r="A893" s="3" t="s">
        <v>1004</v>
      </c>
      <c r="B893" s="3" t="s">
        <v>1278</v>
      </c>
      <c r="C893" s="4" t="str">
        <f>HYPERLINK("http://www.rncp.cncp.gouv.fr/grand-public/visualisationFiche?format=fr&amp;fiche=10180","10180")</f>
        <v>10180</v>
      </c>
      <c r="D893" s="4" t="str">
        <f>HYPERLINK("http://www.intercariforef.org/formations/certification-58795.html","58795")</f>
        <v>58795</v>
      </c>
      <c r="E893" s="5">
        <v>3265</v>
      </c>
      <c r="F893" s="5" t="s">
        <v>10</v>
      </c>
      <c r="G893" s="5" t="s">
        <v>11</v>
      </c>
      <c r="H893" s="3" t="s">
        <v>758</v>
      </c>
    </row>
    <row r="894" spans="1:8" ht="27.6" x14ac:dyDescent="0.25">
      <c r="A894" s="3" t="s">
        <v>1004</v>
      </c>
      <c r="B894" s="3" t="s">
        <v>1279</v>
      </c>
      <c r="C894" s="4" t="str">
        <f>HYPERLINK("http://www.rncp.cncp.gouv.fr/grand-public/visualisationFiche?format=fr&amp;fiche=3256","3256")</f>
        <v>3256</v>
      </c>
      <c r="D894" s="4" t="str">
        <f>HYPERLINK("http://www.intercariforef.org/formations/certification-16480.html","16480")</f>
        <v>16480</v>
      </c>
      <c r="E894" s="5">
        <v>3248</v>
      </c>
      <c r="F894" s="5" t="s">
        <v>10</v>
      </c>
      <c r="G894" s="5" t="s">
        <v>11</v>
      </c>
      <c r="H894" s="3" t="s">
        <v>734</v>
      </c>
    </row>
    <row r="895" spans="1:8" ht="27.6" x14ac:dyDescent="0.25">
      <c r="A895" s="3" t="s">
        <v>1004</v>
      </c>
      <c r="B895" s="3" t="s">
        <v>1280</v>
      </c>
      <c r="C895" s="5"/>
      <c r="D895" s="4" t="str">
        <f>HYPERLINK("http://www.intercariforef.org/formations/certification-55304.html","55304")</f>
        <v>55304</v>
      </c>
      <c r="E895" s="5">
        <v>3249</v>
      </c>
      <c r="F895" s="5" t="s">
        <v>10</v>
      </c>
      <c r="G895" s="5" t="s">
        <v>11</v>
      </c>
      <c r="H895" s="3" t="s">
        <v>1281</v>
      </c>
    </row>
    <row r="896" spans="1:8" ht="13.8" x14ac:dyDescent="0.25">
      <c r="A896" s="3" t="s">
        <v>1004</v>
      </c>
      <c r="B896" s="3" t="s">
        <v>1282</v>
      </c>
      <c r="C896" s="5"/>
      <c r="D896" s="4" t="str">
        <f>HYPERLINK("http://www.intercariforef.org/formations/certification-71453.html","71453")</f>
        <v>71453</v>
      </c>
      <c r="E896" s="5">
        <v>3223</v>
      </c>
      <c r="F896" s="5" t="s">
        <v>10</v>
      </c>
      <c r="G896" s="5" t="s">
        <v>11</v>
      </c>
      <c r="H896" s="3" t="s">
        <v>934</v>
      </c>
    </row>
    <row r="897" spans="1:8" ht="27.6" x14ac:dyDescent="0.25">
      <c r="A897" s="3" t="s">
        <v>1004</v>
      </c>
      <c r="B897" s="3" t="s">
        <v>1283</v>
      </c>
      <c r="C897" s="4" t="str">
        <f>HYPERLINK("http://www.rncp.cncp.gouv.fr/grand-public/visualisationFiche?format=fr&amp;fiche=3475","3475")</f>
        <v>3475</v>
      </c>
      <c r="D897" s="4" t="str">
        <f>HYPERLINK("http://www.intercariforef.org/formations/certification-62827.html","62827")</f>
        <v>62827</v>
      </c>
      <c r="E897" s="5">
        <v>16448</v>
      </c>
      <c r="F897" s="5" t="s">
        <v>10</v>
      </c>
      <c r="G897" s="5" t="s">
        <v>11</v>
      </c>
      <c r="H897" s="3" t="s">
        <v>774</v>
      </c>
    </row>
    <row r="898" spans="1:8" ht="27.6" x14ac:dyDescent="0.25">
      <c r="A898" s="3" t="s">
        <v>1004</v>
      </c>
      <c r="B898" s="3" t="s">
        <v>1284</v>
      </c>
      <c r="C898" s="4" t="str">
        <f>HYPERLINK("http://www.rncp.cncp.gouv.fr/grand-public/visualisationFiche?format=fr&amp;fiche=3529","3529")</f>
        <v>3529</v>
      </c>
      <c r="D898" s="4" t="str">
        <f>HYPERLINK("http://www.intercariforef.org/formations/certification-55339.html","55339")</f>
        <v>55339</v>
      </c>
      <c r="E898" s="5">
        <v>3250</v>
      </c>
      <c r="F898" s="5" t="s">
        <v>10</v>
      </c>
      <c r="G898" s="5" t="s">
        <v>11</v>
      </c>
      <c r="H898" s="3" t="s">
        <v>789</v>
      </c>
    </row>
    <row r="899" spans="1:8" ht="27.6" x14ac:dyDescent="0.25">
      <c r="A899" s="3" t="s">
        <v>1004</v>
      </c>
      <c r="B899" s="3" t="s">
        <v>1285</v>
      </c>
      <c r="C899" s="4" t="str">
        <f>HYPERLINK("http://www.rncp.cncp.gouv.fr/grand-public/visualisationFiche?format=fr&amp;fiche=15135","15135")</f>
        <v>15135</v>
      </c>
      <c r="D899" s="4" t="str">
        <f>HYPERLINK("http://www.intercariforef.org/formations/certification-64946.html","64946")</f>
        <v>64946</v>
      </c>
      <c r="E899" s="5">
        <v>3548</v>
      </c>
      <c r="F899" s="5" t="s">
        <v>10</v>
      </c>
      <c r="G899" s="5" t="s">
        <v>11</v>
      </c>
      <c r="H899" s="3" t="s">
        <v>742</v>
      </c>
    </row>
    <row r="900" spans="1:8" ht="27.6" x14ac:dyDescent="0.25">
      <c r="A900" s="3" t="s">
        <v>1004</v>
      </c>
      <c r="B900" s="3" t="s">
        <v>1285</v>
      </c>
      <c r="C900" s="4" t="str">
        <f>HYPERLINK("http://www.rncp.cncp.gouv.fr/grand-public/visualisationFiche?format=fr&amp;fiche=5346","5346")</f>
        <v>5346</v>
      </c>
      <c r="D900" s="4" t="str">
        <f>HYPERLINK("http://www.intercariforef.org/formations/certification-64839.html","64839")</f>
        <v>64839</v>
      </c>
      <c r="E900" s="5">
        <v>5332</v>
      </c>
      <c r="F900" s="5" t="s">
        <v>10</v>
      </c>
      <c r="G900" s="5" t="s">
        <v>11</v>
      </c>
      <c r="H900" s="3" t="s">
        <v>899</v>
      </c>
    </row>
    <row r="901" spans="1:8" ht="27.6" x14ac:dyDescent="0.25">
      <c r="A901" s="3" t="s">
        <v>1004</v>
      </c>
      <c r="B901" s="3" t="s">
        <v>1285</v>
      </c>
      <c r="C901" s="4" t="str">
        <f>HYPERLINK("http://www.rncp.cncp.gouv.fr/grand-public/visualisationFiche?format=fr&amp;fiche=19374","19374")</f>
        <v>19374</v>
      </c>
      <c r="D901" s="4" t="str">
        <f>HYPERLINK("http://www.intercariforef.org/formations/certification-68980.html","68980")</f>
        <v>68980</v>
      </c>
      <c r="E901" s="5">
        <v>3282</v>
      </c>
      <c r="F901" s="5" t="s">
        <v>10</v>
      </c>
      <c r="G901" s="5" t="s">
        <v>11</v>
      </c>
      <c r="H901" s="3" t="s">
        <v>1209</v>
      </c>
    </row>
    <row r="902" spans="1:8" ht="27.6" x14ac:dyDescent="0.25">
      <c r="A902" s="3" t="s">
        <v>1004</v>
      </c>
      <c r="B902" s="3" t="s">
        <v>1285</v>
      </c>
      <c r="C902" s="4" t="str">
        <f>HYPERLINK("http://www.rncp.cncp.gouv.fr/grand-public/visualisationFiche?format=fr&amp;fiche=18432","18432")</f>
        <v>18432</v>
      </c>
      <c r="D902" s="4" t="str">
        <f>HYPERLINK("http://www.intercariforef.org/formations/certification-64942.html","64942")</f>
        <v>64942</v>
      </c>
      <c r="E902" s="5">
        <v>3281</v>
      </c>
      <c r="F902" s="5" t="s">
        <v>10</v>
      </c>
      <c r="G902" s="5" t="s">
        <v>11</v>
      </c>
      <c r="H902" s="3" t="s">
        <v>731</v>
      </c>
    </row>
    <row r="903" spans="1:8" ht="27.6" x14ac:dyDescent="0.25">
      <c r="A903" s="3" t="s">
        <v>1004</v>
      </c>
      <c r="B903" s="3" t="s">
        <v>1286</v>
      </c>
      <c r="C903" s="4" t="str">
        <f>HYPERLINK("http://www.rncp.cncp.gouv.fr/grand-public/visualisationFiche?format=fr&amp;fiche=10274","10274")</f>
        <v>10274</v>
      </c>
      <c r="D903" s="4" t="str">
        <f>HYPERLINK("http://www.intercariforef.org/formations/certification-53597.html","53597")</f>
        <v>53597</v>
      </c>
      <c r="E903" s="5">
        <v>3440</v>
      </c>
      <c r="F903" s="5" t="s">
        <v>10</v>
      </c>
      <c r="G903" s="5" t="s">
        <v>11</v>
      </c>
      <c r="H903" s="3" t="s">
        <v>763</v>
      </c>
    </row>
    <row r="904" spans="1:8" ht="13.8" x14ac:dyDescent="0.25">
      <c r="A904" s="3" t="s">
        <v>1004</v>
      </c>
      <c r="B904" s="3" t="s">
        <v>1287</v>
      </c>
      <c r="C904" s="4" t="str">
        <f>HYPERLINK("http://www.rncp.cncp.gouv.fr/grand-public/visualisationFiche?format=fr&amp;fiche=5415","5415")</f>
        <v>5415</v>
      </c>
      <c r="D904" s="4" t="str">
        <f>HYPERLINK("http://www.intercariforef.org/formations/certification-69647.html","69647")</f>
        <v>69647</v>
      </c>
      <c r="E904" s="5">
        <v>3290</v>
      </c>
      <c r="F904" s="5" t="s">
        <v>10</v>
      </c>
      <c r="G904" s="5" t="s">
        <v>11</v>
      </c>
      <c r="H904" s="3" t="s">
        <v>1221</v>
      </c>
    </row>
    <row r="905" spans="1:8" ht="13.8" x14ac:dyDescent="0.25">
      <c r="A905" s="3" t="s">
        <v>1004</v>
      </c>
      <c r="B905" s="3" t="s">
        <v>1287</v>
      </c>
      <c r="C905" s="4" t="str">
        <f>HYPERLINK("http://www.rncp.cncp.gouv.fr/grand-public/visualisationFiche?format=fr&amp;fiche=5294","5294")</f>
        <v>5294</v>
      </c>
      <c r="D905" s="4" t="str">
        <f>HYPERLINK("http://www.intercariforef.org/formations/certification-69644.html","69644")</f>
        <v>69644</v>
      </c>
      <c r="E905" s="5">
        <v>3269</v>
      </c>
      <c r="F905" s="5" t="s">
        <v>10</v>
      </c>
      <c r="G905" s="5" t="s">
        <v>11</v>
      </c>
      <c r="H905" s="3" t="s">
        <v>744</v>
      </c>
    </row>
    <row r="906" spans="1:8" ht="27.6" x14ac:dyDescent="0.25">
      <c r="A906" s="3" t="s">
        <v>1004</v>
      </c>
      <c r="B906" s="3" t="s">
        <v>1288</v>
      </c>
      <c r="C906" s="4" t="str">
        <f>HYPERLINK("http://www.rncp.cncp.gouv.fr/grand-public/visualisationFiche?format=fr&amp;fiche=16531","16531")</f>
        <v>16531</v>
      </c>
      <c r="D906" s="4" t="str">
        <f>HYPERLINK("http://www.intercariforef.org/formations/certification-64944.html","64944")</f>
        <v>64944</v>
      </c>
      <c r="E906" s="5">
        <v>3270</v>
      </c>
      <c r="F906" s="5" t="s">
        <v>10</v>
      </c>
      <c r="G906" s="5" t="s">
        <v>11</v>
      </c>
      <c r="H906" s="3" t="s">
        <v>813</v>
      </c>
    </row>
    <row r="907" spans="1:8" ht="27.6" x14ac:dyDescent="0.25">
      <c r="A907" s="3" t="s">
        <v>1004</v>
      </c>
      <c r="B907" s="3" t="s">
        <v>1289</v>
      </c>
      <c r="C907" s="4" t="str">
        <f>HYPERLINK("http://www.rncp.cncp.gouv.fr/grand-public/visualisationFiche?format=fr&amp;fiche=16672","16672")</f>
        <v>16672</v>
      </c>
      <c r="D907" s="4" t="str">
        <f>HYPERLINK("http://www.intercariforef.org/formations/certification-78525.html","78525")</f>
        <v>78525</v>
      </c>
      <c r="E907" s="5">
        <v>3340</v>
      </c>
      <c r="F907" s="5" t="s">
        <v>10</v>
      </c>
      <c r="G907" s="5" t="s">
        <v>11</v>
      </c>
      <c r="H907" s="3" t="s">
        <v>1221</v>
      </c>
    </row>
    <row r="908" spans="1:8" ht="27.6" x14ac:dyDescent="0.25">
      <c r="A908" s="3" t="s">
        <v>1004</v>
      </c>
      <c r="B908" s="3" t="s">
        <v>1290</v>
      </c>
      <c r="C908" s="4" t="str">
        <f>HYPERLINK("http://www.rncp.cncp.gouv.fr/grand-public/visualisationFiche?format=fr&amp;fiche=5801","5801")</f>
        <v>5801</v>
      </c>
      <c r="D908" s="4" t="str">
        <f>HYPERLINK("http://www.intercariforef.org/formations/certification-50021.html","50021")</f>
        <v>50021</v>
      </c>
      <c r="E908" s="5">
        <v>3341</v>
      </c>
      <c r="F908" s="5" t="s">
        <v>10</v>
      </c>
      <c r="G908" s="5" t="s">
        <v>11</v>
      </c>
      <c r="H908" s="3" t="s">
        <v>842</v>
      </c>
    </row>
    <row r="909" spans="1:8" ht="13.8" x14ac:dyDescent="0.25">
      <c r="A909" s="3" t="s">
        <v>1004</v>
      </c>
      <c r="B909" s="3" t="s">
        <v>1291</v>
      </c>
      <c r="C909" s="4" t="str">
        <f>HYPERLINK("http://www.rncp.cncp.gouv.fr/grand-public/visualisationFiche?format=fr&amp;fiche=17005","17005")</f>
        <v>17005</v>
      </c>
      <c r="D909" s="4" t="str">
        <f>HYPERLINK("http://www.intercariforef.org/formations/certification-75008.html","75008")</f>
        <v>75008</v>
      </c>
      <c r="E909" s="5">
        <v>3342</v>
      </c>
      <c r="F909" s="5" t="s">
        <v>10</v>
      </c>
      <c r="G909" s="5" t="s">
        <v>11</v>
      </c>
      <c r="H909" s="3" t="s">
        <v>766</v>
      </c>
    </row>
    <row r="910" spans="1:8" ht="27.6" x14ac:dyDescent="0.25">
      <c r="A910" s="3" t="s">
        <v>1004</v>
      </c>
      <c r="B910" s="3" t="s">
        <v>1292</v>
      </c>
      <c r="C910" s="4" t="str">
        <f>HYPERLINK("http://www.rncp.cncp.gouv.fr/grand-public/visualisationFiche?format=fr&amp;fiche=14692","14692")</f>
        <v>14692</v>
      </c>
      <c r="D910" s="4" t="str">
        <f>HYPERLINK("http://www.intercariforef.org/formations/certification-63368.html","63368")</f>
        <v>63368</v>
      </c>
      <c r="E910" s="5">
        <v>3328</v>
      </c>
      <c r="F910" s="5" t="s">
        <v>10</v>
      </c>
      <c r="G910" s="5" t="s">
        <v>11</v>
      </c>
      <c r="H910" s="3" t="s">
        <v>742</v>
      </c>
    </row>
    <row r="911" spans="1:8" ht="13.8" x14ac:dyDescent="0.25">
      <c r="A911" s="3" t="s">
        <v>1004</v>
      </c>
      <c r="B911" s="3" t="s">
        <v>1293</v>
      </c>
      <c r="C911" s="4" t="str">
        <f>HYPERLINK("http://www.rncp.cncp.gouv.fr/grand-public/visualisationFiche?format=fr&amp;fiche=13285","13285")</f>
        <v>13285</v>
      </c>
      <c r="D911" s="4" t="str">
        <f>HYPERLINK("http://www.intercariforef.org/formations/certification-42381.html","42381")</f>
        <v>42381</v>
      </c>
      <c r="E911" s="5">
        <v>3297</v>
      </c>
      <c r="F911" s="5" t="s">
        <v>10</v>
      </c>
      <c r="G911" s="5" t="s">
        <v>11</v>
      </c>
      <c r="H911" s="3" t="s">
        <v>892</v>
      </c>
    </row>
    <row r="912" spans="1:8" ht="27.6" x14ac:dyDescent="0.25">
      <c r="A912" s="3" t="s">
        <v>1004</v>
      </c>
      <c r="B912" s="3" t="s">
        <v>1294</v>
      </c>
      <c r="C912" s="4" t="str">
        <f>HYPERLINK("http://www.rncp.cncp.gouv.fr/grand-public/visualisationFiche?format=fr&amp;fiche=3153","3153")</f>
        <v>3153</v>
      </c>
      <c r="D912" s="4" t="str">
        <f>HYPERLINK("http://www.intercariforef.org/formations/certification-59210.html","59210")</f>
        <v>59210</v>
      </c>
      <c r="E912" s="5">
        <v>16450</v>
      </c>
      <c r="F912" s="5" t="s">
        <v>10</v>
      </c>
      <c r="G912" s="5" t="s">
        <v>11</v>
      </c>
      <c r="H912" s="3" t="s">
        <v>801</v>
      </c>
    </row>
    <row r="913" spans="1:8" ht="27.6" x14ac:dyDescent="0.25">
      <c r="A913" s="3" t="s">
        <v>1004</v>
      </c>
      <c r="B913" s="3" t="s">
        <v>1295</v>
      </c>
      <c r="C913" s="5"/>
      <c r="D913" s="4" t="str">
        <f>HYPERLINK("http://www.intercariforef.org/formations/certification-69095.html","69095")</f>
        <v>69095</v>
      </c>
      <c r="E913" s="5">
        <v>3356</v>
      </c>
      <c r="F913" s="5" t="s">
        <v>10</v>
      </c>
      <c r="G913" s="5" t="s">
        <v>11</v>
      </c>
      <c r="H913" s="3" t="s">
        <v>899</v>
      </c>
    </row>
    <row r="914" spans="1:8" ht="13.8" x14ac:dyDescent="0.25">
      <c r="A914" s="3" t="s">
        <v>1004</v>
      </c>
      <c r="B914" s="3" t="s">
        <v>1296</v>
      </c>
      <c r="C914" s="4" t="str">
        <f>HYPERLINK("http://www.rncp.cncp.gouv.fr/grand-public/visualisationFiche?format=fr&amp;fiche=7518","7518")</f>
        <v>7518</v>
      </c>
      <c r="D914" s="4" t="str">
        <f>HYPERLINK("http://www.intercariforef.org/formations/certification-63579.html","63579")</f>
        <v>63579</v>
      </c>
      <c r="E914" s="5">
        <v>3357</v>
      </c>
      <c r="F914" s="5" t="s">
        <v>10</v>
      </c>
      <c r="G914" s="5" t="s">
        <v>11</v>
      </c>
      <c r="H914" s="3" t="s">
        <v>771</v>
      </c>
    </row>
    <row r="915" spans="1:8" ht="13.8" x14ac:dyDescent="0.25">
      <c r="A915" s="3" t="s">
        <v>1004</v>
      </c>
      <c r="B915" s="3" t="s">
        <v>1297</v>
      </c>
      <c r="C915" s="4" t="str">
        <f>HYPERLINK("http://www.rncp.cncp.gouv.fr/grand-public/visualisationFiche?format=fr&amp;fiche=3694","3694")</f>
        <v>3694</v>
      </c>
      <c r="D915" s="4" t="str">
        <f>HYPERLINK("http://www.intercariforef.org/formations/certification-16499.html","16499")</f>
        <v>16499</v>
      </c>
      <c r="E915" s="5">
        <v>3363</v>
      </c>
      <c r="F915" s="5" t="s">
        <v>10</v>
      </c>
      <c r="G915" s="5" t="s">
        <v>11</v>
      </c>
      <c r="H915" s="3" t="s">
        <v>1221</v>
      </c>
    </row>
    <row r="916" spans="1:8" ht="27.6" x14ac:dyDescent="0.25">
      <c r="A916" s="3" t="s">
        <v>1004</v>
      </c>
      <c r="B916" s="3" t="s">
        <v>1298</v>
      </c>
      <c r="C916" s="4" t="str">
        <f>HYPERLINK("http://www.rncp.cncp.gouv.fr/grand-public/visualisationFiche?format=fr&amp;fiche=16729","16729")</f>
        <v>16729</v>
      </c>
      <c r="D916" s="4" t="str">
        <f>HYPERLINK("http://www.intercariforef.org/formations/certification-59944.html","59944")</f>
        <v>59944</v>
      </c>
      <c r="E916" s="5">
        <v>3364</v>
      </c>
      <c r="F916" s="5" t="s">
        <v>10</v>
      </c>
      <c r="G916" s="5" t="s">
        <v>11</v>
      </c>
      <c r="H916" s="3" t="s">
        <v>1221</v>
      </c>
    </row>
    <row r="917" spans="1:8" ht="13.8" x14ac:dyDescent="0.25">
      <c r="A917" s="3" t="s">
        <v>1004</v>
      </c>
      <c r="B917" s="3" t="s">
        <v>1299</v>
      </c>
      <c r="C917" s="4" t="str">
        <f>HYPERLINK("http://www.rncp.cncp.gouv.fr/grand-public/visualisationFiche?format=fr&amp;fiche=3334","3334")</f>
        <v>3334</v>
      </c>
      <c r="D917" s="4" t="str">
        <f>HYPERLINK("http://www.intercariforef.org/formations/certification-16502.html","16502")</f>
        <v>16502</v>
      </c>
      <c r="E917" s="5">
        <v>3291</v>
      </c>
      <c r="F917" s="5" t="s">
        <v>10</v>
      </c>
      <c r="G917" s="5" t="s">
        <v>11</v>
      </c>
      <c r="H917" s="3" t="s">
        <v>1300</v>
      </c>
    </row>
    <row r="918" spans="1:8" ht="13.8" x14ac:dyDescent="0.25">
      <c r="A918" s="3" t="s">
        <v>1004</v>
      </c>
      <c r="B918" s="3" t="s">
        <v>1301</v>
      </c>
      <c r="C918" s="4" t="str">
        <f>HYPERLINK("http://www.rncp.cncp.gouv.fr/grand-public/visualisationFiche?format=fr&amp;fiche=14464","14464")</f>
        <v>14464</v>
      </c>
      <c r="D918" s="4" t="str">
        <f>HYPERLINK("http://www.intercariforef.org/formations/certification-77345.html","77345")</f>
        <v>77345</v>
      </c>
      <c r="E918" s="5">
        <v>3339</v>
      </c>
      <c r="F918" s="5" t="s">
        <v>10</v>
      </c>
      <c r="G918" s="5" t="s">
        <v>11</v>
      </c>
      <c r="H918" s="3" t="s">
        <v>737</v>
      </c>
    </row>
    <row r="919" spans="1:8" ht="27.6" x14ac:dyDescent="0.25">
      <c r="A919" s="3" t="s">
        <v>1004</v>
      </c>
      <c r="B919" s="3" t="s">
        <v>1302</v>
      </c>
      <c r="C919" s="5"/>
      <c r="D919" s="4" t="str">
        <f>HYPERLINK("http://www.intercariforef.org/formations/certification-64699.html","64699")</f>
        <v>64699</v>
      </c>
      <c r="E919" s="5">
        <v>3372</v>
      </c>
      <c r="F919" s="5" t="s">
        <v>10</v>
      </c>
      <c r="G919" s="5" t="s">
        <v>11</v>
      </c>
      <c r="H919" s="3" t="s">
        <v>1246</v>
      </c>
    </row>
    <row r="920" spans="1:8" ht="13.8" x14ac:dyDescent="0.25">
      <c r="A920" s="3" t="s">
        <v>1004</v>
      </c>
      <c r="B920" s="3" t="s">
        <v>1303</v>
      </c>
      <c r="C920" s="4" t="str">
        <f>HYPERLINK("http://www.rncp.cncp.gouv.fr/grand-public/visualisationFiche?format=fr&amp;fiche=6107","6107")</f>
        <v>6107</v>
      </c>
      <c r="D920" s="4" t="str">
        <f>HYPERLINK("http://www.intercariforef.org/formations/certification-78949.html","78949")</f>
        <v>78949</v>
      </c>
      <c r="E920" s="5">
        <v>3373</v>
      </c>
      <c r="F920" s="5" t="s">
        <v>10</v>
      </c>
      <c r="G920" s="5" t="s">
        <v>11</v>
      </c>
      <c r="H920" s="3" t="s">
        <v>34</v>
      </c>
    </row>
    <row r="921" spans="1:8" ht="13.8" x14ac:dyDescent="0.25">
      <c r="A921" s="3" t="s">
        <v>1004</v>
      </c>
      <c r="B921" s="3" t="s">
        <v>1303</v>
      </c>
      <c r="C921" s="4" t="str">
        <f>HYPERLINK("http://www.rncp.cncp.gouv.fr/grand-public/visualisationFiche?format=fr&amp;fiche=3704","3704")</f>
        <v>3704</v>
      </c>
      <c r="D921" s="4" t="str">
        <f>HYPERLINK("http://www.intercariforef.org/formations/certification-54355.html","54355")</f>
        <v>54355</v>
      </c>
      <c r="E921" s="5">
        <v>3393</v>
      </c>
      <c r="F921" s="5" t="s">
        <v>10</v>
      </c>
      <c r="G921" s="5" t="s">
        <v>11</v>
      </c>
      <c r="H921" s="3" t="s">
        <v>963</v>
      </c>
    </row>
    <row r="922" spans="1:8" ht="27.6" x14ac:dyDescent="0.25">
      <c r="A922" s="3" t="s">
        <v>1004</v>
      </c>
      <c r="B922" s="3" t="s">
        <v>1304</v>
      </c>
      <c r="C922" s="4" t="str">
        <f>HYPERLINK("http://www.rncp.cncp.gouv.fr/grand-public/visualisationFiche?format=fr&amp;fiche=3410","3410")</f>
        <v>3410</v>
      </c>
      <c r="D922" s="4" t="str">
        <f>HYPERLINK("http://www.intercariforef.org/formations/certification-71495.html","71495")</f>
        <v>71495</v>
      </c>
      <c r="E922" s="5">
        <v>4936</v>
      </c>
      <c r="F922" s="5" t="s">
        <v>10</v>
      </c>
      <c r="G922" s="5" t="s">
        <v>11</v>
      </c>
      <c r="H922" s="3" t="s">
        <v>779</v>
      </c>
    </row>
    <row r="923" spans="1:8" ht="13.8" x14ac:dyDescent="0.25">
      <c r="A923" s="3" t="s">
        <v>1004</v>
      </c>
      <c r="B923" s="3" t="s">
        <v>1305</v>
      </c>
      <c r="C923" s="4" t="str">
        <f>HYPERLINK("http://www.rncp.cncp.gouv.fr/grand-public/visualisationFiche?format=fr&amp;fiche=13284","13284")</f>
        <v>13284</v>
      </c>
      <c r="D923" s="4" t="str">
        <f>HYPERLINK("http://www.intercariforef.org/formations/certification-52264.html","52264")</f>
        <v>52264</v>
      </c>
      <c r="E923" s="5">
        <v>3299</v>
      </c>
      <c r="F923" s="5" t="s">
        <v>10</v>
      </c>
      <c r="G923" s="5" t="s">
        <v>11</v>
      </c>
      <c r="H923" s="3" t="s">
        <v>892</v>
      </c>
    </row>
    <row r="924" spans="1:8" ht="27.6" x14ac:dyDescent="0.25">
      <c r="A924" s="3" t="s">
        <v>1004</v>
      </c>
      <c r="B924" s="3" t="s">
        <v>1306</v>
      </c>
      <c r="C924" s="4" t="str">
        <f>HYPERLINK("http://www.rncp.cncp.gouv.fr/grand-public/visualisationFiche?format=fr&amp;fiche=13562","13562")</f>
        <v>13562</v>
      </c>
      <c r="D924" s="4" t="str">
        <f>HYPERLINK("http://www.intercariforef.org/formations/certification-71332.html","71332")</f>
        <v>71332</v>
      </c>
      <c r="E924" s="5">
        <v>3394</v>
      </c>
      <c r="F924" s="5" t="s">
        <v>10</v>
      </c>
      <c r="G924" s="5" t="s">
        <v>11</v>
      </c>
      <c r="H924" s="3" t="s">
        <v>788</v>
      </c>
    </row>
    <row r="925" spans="1:8" ht="27.6" x14ac:dyDescent="0.25">
      <c r="A925" s="3" t="s">
        <v>1004</v>
      </c>
      <c r="B925" s="3" t="s">
        <v>1307</v>
      </c>
      <c r="C925" s="4" t="str">
        <f>HYPERLINK("http://www.rncp.cncp.gouv.fr/grand-public/visualisationFiche?format=fr&amp;fiche=10271","10271")</f>
        <v>10271</v>
      </c>
      <c r="D925" s="4" t="str">
        <f>HYPERLINK("http://www.intercariforef.org/formations/certification-42379.html","42379")</f>
        <v>42379</v>
      </c>
      <c r="E925" s="5">
        <v>3292</v>
      </c>
      <c r="F925" s="5" t="s">
        <v>10</v>
      </c>
      <c r="G925" s="5" t="s">
        <v>11</v>
      </c>
      <c r="H925" s="3" t="s">
        <v>763</v>
      </c>
    </row>
    <row r="926" spans="1:8" ht="13.8" x14ac:dyDescent="0.25">
      <c r="A926" s="3" t="s">
        <v>1004</v>
      </c>
      <c r="B926" s="3" t="s">
        <v>1308</v>
      </c>
      <c r="C926" s="4" t="str">
        <f>HYPERLINK("http://www.rncp.cncp.gouv.fr/grand-public/visualisationFiche?format=fr&amp;fiche=15095","15095")</f>
        <v>15095</v>
      </c>
      <c r="D926" s="4" t="str">
        <f>HYPERLINK("http://www.intercariforef.org/formations/certification-75671.html","75671")</f>
        <v>75671</v>
      </c>
      <c r="E926" s="5">
        <v>3395</v>
      </c>
      <c r="F926" s="5" t="s">
        <v>10</v>
      </c>
      <c r="G926" s="5" t="s">
        <v>11</v>
      </c>
      <c r="H926" s="3" t="s">
        <v>34</v>
      </c>
    </row>
    <row r="927" spans="1:8" ht="27.6" x14ac:dyDescent="0.25">
      <c r="A927" s="3" t="s">
        <v>1004</v>
      </c>
      <c r="B927" s="3" t="s">
        <v>1309</v>
      </c>
      <c r="C927" s="4" t="str">
        <f>HYPERLINK("http://www.rncp.cncp.gouv.fr/grand-public/visualisationFiche?format=fr&amp;fiche=3706","3706")</f>
        <v>3706</v>
      </c>
      <c r="D927" s="4" t="str">
        <f>HYPERLINK("http://www.intercariforef.org/formations/certification-54356.html","54356")</f>
        <v>54356</v>
      </c>
      <c r="E927" s="5">
        <v>162365</v>
      </c>
      <c r="F927" s="5" t="s">
        <v>10</v>
      </c>
      <c r="G927" s="5" t="s">
        <v>11</v>
      </c>
      <c r="H927" s="3" t="s">
        <v>963</v>
      </c>
    </row>
    <row r="928" spans="1:8" ht="27.6" x14ac:dyDescent="0.25">
      <c r="A928" s="3" t="s">
        <v>1004</v>
      </c>
      <c r="B928" s="3" t="s">
        <v>1310</v>
      </c>
      <c r="C928" s="4" t="str">
        <f>HYPERLINK("http://www.rncp.cncp.gouv.fr/grand-public/visualisationFiche?format=fr&amp;fiche=3533","3533")</f>
        <v>3533</v>
      </c>
      <c r="D928" s="4" t="str">
        <f>HYPERLINK("http://www.intercariforef.org/formations/certification-16507.html","16507")</f>
        <v>16507</v>
      </c>
      <c r="E928" s="5">
        <v>3293</v>
      </c>
      <c r="F928" s="5" t="s">
        <v>10</v>
      </c>
      <c r="G928" s="5" t="s">
        <v>11</v>
      </c>
      <c r="H928" s="3" t="s">
        <v>789</v>
      </c>
    </row>
    <row r="929" spans="1:8" ht="27.6" x14ac:dyDescent="0.25">
      <c r="A929" s="3" t="s">
        <v>1004</v>
      </c>
      <c r="B929" s="3" t="s">
        <v>1311</v>
      </c>
      <c r="C929" s="4" t="str">
        <f>HYPERLINK("http://www.rncp.cncp.gouv.fr/grand-public/visualisationFiche?format=fr&amp;fiche=15562","15562")</f>
        <v>15562</v>
      </c>
      <c r="D929" s="4" t="str">
        <f>HYPERLINK("http://www.intercariforef.org/formations/certification-76474.html","76474")</f>
        <v>76474</v>
      </c>
      <c r="E929" s="5">
        <v>3557</v>
      </c>
      <c r="F929" s="5" t="s">
        <v>10</v>
      </c>
      <c r="G929" s="5" t="s">
        <v>11</v>
      </c>
      <c r="H929" s="3" t="s">
        <v>763</v>
      </c>
    </row>
    <row r="930" spans="1:8" ht="27.6" x14ac:dyDescent="0.25">
      <c r="A930" s="3" t="s">
        <v>1004</v>
      </c>
      <c r="B930" s="3" t="s">
        <v>1312</v>
      </c>
      <c r="C930" s="4" t="str">
        <f>HYPERLINK("http://www.rncp.cncp.gouv.fr/grand-public/visualisationFiche?format=fr&amp;fiche=3237","3237")</f>
        <v>3237</v>
      </c>
      <c r="D930" s="4" t="str">
        <f>HYPERLINK("http://www.intercariforef.org/formations/certification-16509.html","16509")</f>
        <v>16509</v>
      </c>
      <c r="E930" s="5">
        <v>3294</v>
      </c>
      <c r="F930" s="5" t="s">
        <v>10</v>
      </c>
      <c r="G930" s="5" t="s">
        <v>11</v>
      </c>
      <c r="H930" s="3" t="s">
        <v>842</v>
      </c>
    </row>
    <row r="931" spans="1:8" ht="27.6" x14ac:dyDescent="0.25">
      <c r="A931" s="3" t="s">
        <v>1004</v>
      </c>
      <c r="B931" s="3" t="s">
        <v>1313</v>
      </c>
      <c r="C931" s="4" t="str">
        <f>HYPERLINK("http://www.rncp.cncp.gouv.fr/grand-public/visualisationFiche?format=fr&amp;fiche=6475","6475")</f>
        <v>6475</v>
      </c>
      <c r="D931" s="4" t="str">
        <f>HYPERLINK("http://www.intercariforef.org/formations/certification-59292.html","59292")</f>
        <v>59292</v>
      </c>
      <c r="E931" s="5">
        <v>3396</v>
      </c>
      <c r="F931" s="5" t="s">
        <v>10</v>
      </c>
      <c r="G931" s="5" t="s">
        <v>11</v>
      </c>
      <c r="H931" s="3" t="s">
        <v>880</v>
      </c>
    </row>
    <row r="932" spans="1:8" ht="13.8" x14ac:dyDescent="0.25">
      <c r="A932" s="3" t="s">
        <v>1004</v>
      </c>
      <c r="B932" s="3" t="s">
        <v>1314</v>
      </c>
      <c r="C932" s="4" t="str">
        <f>HYPERLINK("http://www.rncp.cncp.gouv.fr/grand-public/visualisationFiche?format=fr&amp;fiche=18613","18613")</f>
        <v>18613</v>
      </c>
      <c r="D932" s="4" t="str">
        <f>HYPERLINK("http://www.intercariforef.org/formations/certification-64967.html","64967")</f>
        <v>64967</v>
      </c>
      <c r="E932" s="5">
        <v>3295</v>
      </c>
      <c r="F932" s="5" t="s">
        <v>10</v>
      </c>
      <c r="G932" s="5" t="s">
        <v>11</v>
      </c>
      <c r="H932" s="3" t="s">
        <v>731</v>
      </c>
    </row>
    <row r="933" spans="1:8" ht="27.6" x14ac:dyDescent="0.25">
      <c r="A933" s="3" t="s">
        <v>1004</v>
      </c>
      <c r="B933" s="3" t="s">
        <v>1315</v>
      </c>
      <c r="C933" s="4" t="str">
        <f>HYPERLINK("http://www.rncp.cncp.gouv.fr/grand-public/visualisationFiche?format=fr&amp;fiche=17456","17456")</f>
        <v>17456</v>
      </c>
      <c r="D933" s="4" t="str">
        <f>HYPERLINK("http://www.intercariforef.org/formations/certification-50248.html","50248")</f>
        <v>50248</v>
      </c>
      <c r="E933" s="5">
        <v>3400</v>
      </c>
      <c r="F933" s="5" t="s">
        <v>10</v>
      </c>
      <c r="G933" s="5" t="s">
        <v>11</v>
      </c>
      <c r="H933" s="3" t="s">
        <v>813</v>
      </c>
    </row>
    <row r="934" spans="1:8" ht="27.6" x14ac:dyDescent="0.25">
      <c r="A934" s="3" t="s">
        <v>1004</v>
      </c>
      <c r="B934" s="3" t="s">
        <v>1316</v>
      </c>
      <c r="C934" s="5"/>
      <c r="D934" s="4" t="str">
        <f>HYPERLINK("http://www.intercariforef.org/formations/certification-16512.html","16512")</f>
        <v>16512</v>
      </c>
      <c r="E934" s="5">
        <v>3296</v>
      </c>
      <c r="F934" s="5" t="s">
        <v>10</v>
      </c>
      <c r="G934" s="5" t="s">
        <v>11</v>
      </c>
      <c r="H934" s="3" t="s">
        <v>1163</v>
      </c>
    </row>
    <row r="935" spans="1:8" ht="27.6" x14ac:dyDescent="0.25">
      <c r="A935" s="3" t="s">
        <v>1004</v>
      </c>
      <c r="B935" s="3" t="s">
        <v>1317</v>
      </c>
      <c r="C935" s="4" t="str">
        <f>HYPERLINK("http://www.rncp.cncp.gouv.fr/grand-public/visualisationFiche?format=fr&amp;fiche=13614","13614")</f>
        <v>13614</v>
      </c>
      <c r="D935" s="4" t="str">
        <f>HYPERLINK("http://www.intercariforef.org/formations/certification-16513.html","16513")</f>
        <v>16513</v>
      </c>
      <c r="E935" s="5">
        <v>3419</v>
      </c>
      <c r="F935" s="5" t="s">
        <v>10</v>
      </c>
      <c r="G935" s="5" t="s">
        <v>11</v>
      </c>
      <c r="H935" s="3" t="s">
        <v>514</v>
      </c>
    </row>
    <row r="936" spans="1:8" ht="27.6" x14ac:dyDescent="0.25">
      <c r="A936" s="3" t="s">
        <v>1004</v>
      </c>
      <c r="B936" s="3" t="s">
        <v>1318</v>
      </c>
      <c r="C936" s="4" t="str">
        <f>HYPERLINK("http://www.rncp.cncp.gouv.fr/grand-public/visualisationFiche?format=fr&amp;fiche=17121","17121")</f>
        <v>17121</v>
      </c>
      <c r="D936" s="4" t="str">
        <f>HYPERLINK("http://www.intercariforef.org/formations/certification-79512.html","79512")</f>
        <v>79512</v>
      </c>
      <c r="E936" s="5">
        <v>3402</v>
      </c>
      <c r="F936" s="5" t="s">
        <v>10</v>
      </c>
      <c r="G936" s="5" t="s">
        <v>11</v>
      </c>
      <c r="H936" s="3" t="s">
        <v>785</v>
      </c>
    </row>
    <row r="937" spans="1:8" ht="27.6" x14ac:dyDescent="0.25">
      <c r="A937" s="3" t="s">
        <v>1004</v>
      </c>
      <c r="B937" s="3" t="s">
        <v>1319</v>
      </c>
      <c r="C937" s="4" t="str">
        <f>HYPERLINK("http://www.rncp.cncp.gouv.fr/grand-public/visualisationFiche?format=fr&amp;fiche=13956","13956")</f>
        <v>13956</v>
      </c>
      <c r="D937" s="4" t="str">
        <f>HYPERLINK("http://www.intercariforef.org/formations/certification-77175.html","77175")</f>
        <v>77175</v>
      </c>
      <c r="E937" s="5">
        <v>3401</v>
      </c>
      <c r="F937" s="5" t="s">
        <v>10</v>
      </c>
      <c r="G937" s="5" t="s">
        <v>11</v>
      </c>
      <c r="H937" s="3" t="s">
        <v>783</v>
      </c>
    </row>
    <row r="938" spans="1:8" ht="13.8" x14ac:dyDescent="0.25">
      <c r="A938" s="3" t="s">
        <v>1004</v>
      </c>
      <c r="B938" s="3" t="s">
        <v>1320</v>
      </c>
      <c r="C938" s="4" t="str">
        <f>HYPERLINK("http://www.rncp.cncp.gouv.fr/grand-public/visualisationFiche?format=fr&amp;fiche=12648","12648")</f>
        <v>12648</v>
      </c>
      <c r="D938" s="4" t="str">
        <f>HYPERLINK("http://www.intercariforef.org/formations/certification-68895.html","68895")</f>
        <v>68895</v>
      </c>
      <c r="E938" s="5">
        <v>3403</v>
      </c>
      <c r="F938" s="5" t="s">
        <v>10</v>
      </c>
      <c r="G938" s="5" t="s">
        <v>11</v>
      </c>
      <c r="H938" s="3" t="s">
        <v>892</v>
      </c>
    </row>
    <row r="939" spans="1:8" ht="13.8" x14ac:dyDescent="0.25">
      <c r="A939" s="3" t="s">
        <v>1004</v>
      </c>
      <c r="B939" s="3" t="s">
        <v>1321</v>
      </c>
      <c r="C939" s="5"/>
      <c r="D939" s="4" t="str">
        <f>HYPERLINK("http://www.intercariforef.org/formations/certification-54437.html","54437")</f>
        <v>54437</v>
      </c>
      <c r="E939" s="5">
        <v>3405</v>
      </c>
      <c r="F939" s="5" t="s">
        <v>10</v>
      </c>
      <c r="G939" s="5" t="s">
        <v>11</v>
      </c>
      <c r="H939" s="3" t="s">
        <v>963</v>
      </c>
    </row>
    <row r="940" spans="1:8" ht="27.6" x14ac:dyDescent="0.25">
      <c r="A940" s="3" t="s">
        <v>1004</v>
      </c>
      <c r="B940" s="3" t="s">
        <v>1322</v>
      </c>
      <c r="C940" s="4" t="str">
        <f>HYPERLINK("http://www.rncp.cncp.gouv.fr/grand-public/visualisationFiche?format=fr&amp;fiche=14079","14079")</f>
        <v>14079</v>
      </c>
      <c r="D940" s="4" t="str">
        <f>HYPERLINK("http://www.intercariforef.org/formations/certification-79174.html","79174")</f>
        <v>79174</v>
      </c>
      <c r="E940" s="5">
        <v>6740</v>
      </c>
      <c r="F940" s="5" t="s">
        <v>10</v>
      </c>
      <c r="G940" s="5" t="s">
        <v>11</v>
      </c>
      <c r="H940" s="3" t="s">
        <v>850</v>
      </c>
    </row>
    <row r="941" spans="1:8" ht="13.8" x14ac:dyDescent="0.25">
      <c r="A941" s="3" t="s">
        <v>1004</v>
      </c>
      <c r="B941" s="3" t="s">
        <v>1323</v>
      </c>
      <c r="C941" s="5"/>
      <c r="D941" s="4" t="str">
        <f>HYPERLINK("http://www.intercariforef.org/formations/certification-69242.html","69242")</f>
        <v>69242</v>
      </c>
      <c r="E941" s="5">
        <v>131737</v>
      </c>
      <c r="F941" s="5" t="s">
        <v>10</v>
      </c>
      <c r="G941" s="5" t="s">
        <v>11</v>
      </c>
      <c r="H941" s="3" t="s">
        <v>784</v>
      </c>
    </row>
    <row r="942" spans="1:8" ht="27.6" x14ac:dyDescent="0.25">
      <c r="A942" s="3" t="s">
        <v>1004</v>
      </c>
      <c r="B942" s="3" t="s">
        <v>1324</v>
      </c>
      <c r="C942" s="4" t="str">
        <f>HYPERLINK("http://www.rncp.cncp.gouv.fr/grand-public/visualisationFiche?format=fr&amp;fiche=11103","11103")</f>
        <v>11103</v>
      </c>
      <c r="D942" s="4" t="str">
        <f>HYPERLINK("http://www.intercariforef.org/formations/certification-42428.html","42428")</f>
        <v>42428</v>
      </c>
      <c r="E942" s="5">
        <v>133938</v>
      </c>
      <c r="F942" s="5" t="s">
        <v>10</v>
      </c>
      <c r="G942" s="5" t="s">
        <v>11</v>
      </c>
      <c r="H942" s="3" t="s">
        <v>734</v>
      </c>
    </row>
    <row r="943" spans="1:8" ht="13.8" x14ac:dyDescent="0.25">
      <c r="A943" s="3" t="s">
        <v>1004</v>
      </c>
      <c r="B943" s="3" t="s">
        <v>1325</v>
      </c>
      <c r="C943" s="5"/>
      <c r="D943" s="4" t="str">
        <f>HYPERLINK("http://www.intercariforef.org/formations/certification-69664.html","69664")</f>
        <v>69664</v>
      </c>
      <c r="E943" s="5">
        <v>2986</v>
      </c>
      <c r="F943" s="5" t="s">
        <v>10</v>
      </c>
      <c r="G943" s="5" t="s">
        <v>11</v>
      </c>
      <c r="H943" s="3" t="s">
        <v>733</v>
      </c>
    </row>
    <row r="944" spans="1:8" ht="13.8" x14ac:dyDescent="0.25">
      <c r="A944" s="3" t="s">
        <v>1004</v>
      </c>
      <c r="B944" s="3" t="s">
        <v>1326</v>
      </c>
      <c r="C944" s="5"/>
      <c r="D944" s="4" t="str">
        <f>HYPERLINK("http://www.intercariforef.org/formations/certification-71346.html","71346")</f>
        <v>71346</v>
      </c>
      <c r="E944" s="5">
        <v>3436</v>
      </c>
      <c r="F944" s="5" t="s">
        <v>10</v>
      </c>
      <c r="G944" s="5" t="s">
        <v>11</v>
      </c>
      <c r="H944" s="3" t="s">
        <v>1225</v>
      </c>
    </row>
    <row r="945" spans="1:8" ht="13.8" x14ac:dyDescent="0.25">
      <c r="A945" s="3" t="s">
        <v>1004</v>
      </c>
      <c r="B945" s="3" t="s">
        <v>1327</v>
      </c>
      <c r="C945" s="4" t="str">
        <f>HYPERLINK("http://www.rncp.cncp.gouv.fr/grand-public/visualisationFiche?format=fr&amp;fiche=18293","18293")</f>
        <v>18293</v>
      </c>
      <c r="D945" s="4" t="str">
        <f>HYPERLINK("http://www.intercariforef.org/formations/certification-77472.html","77472")</f>
        <v>77472</v>
      </c>
      <c r="E945" s="5">
        <v>2984</v>
      </c>
      <c r="F945" s="5" t="s">
        <v>10</v>
      </c>
      <c r="G945" s="5" t="s">
        <v>11</v>
      </c>
      <c r="H945" s="3" t="s">
        <v>731</v>
      </c>
    </row>
    <row r="946" spans="1:8" ht="27.6" x14ac:dyDescent="0.25">
      <c r="A946" s="3" t="s">
        <v>1004</v>
      </c>
      <c r="B946" s="3" t="s">
        <v>1328</v>
      </c>
      <c r="C946" s="4" t="str">
        <f>HYPERLINK("http://www.rncp.cncp.gouv.fr/grand-public/visualisationFiche?format=fr&amp;fiche=7093","7093")</f>
        <v>7093</v>
      </c>
      <c r="D946" s="4" t="str">
        <f>HYPERLINK("http://www.intercariforef.org/formations/certification-57524.html","57524")</f>
        <v>57524</v>
      </c>
      <c r="E946" s="5">
        <v>2991</v>
      </c>
      <c r="F946" s="5" t="s">
        <v>10</v>
      </c>
      <c r="G946" s="5" t="s">
        <v>11</v>
      </c>
      <c r="H946" s="3" t="s">
        <v>739</v>
      </c>
    </row>
    <row r="947" spans="1:8" ht="13.8" x14ac:dyDescent="0.25">
      <c r="A947" s="3" t="s">
        <v>1004</v>
      </c>
      <c r="B947" s="3" t="s">
        <v>1329</v>
      </c>
      <c r="C947" s="4" t="str">
        <f>HYPERLINK("http://www.rncp.cncp.gouv.fr/grand-public/visualisationFiche?format=fr&amp;fiche=13964","13964")</f>
        <v>13964</v>
      </c>
      <c r="D947" s="4" t="str">
        <f>HYPERLINK("http://www.intercariforef.org/formations/certification-71387.html","71387")</f>
        <v>71387</v>
      </c>
      <c r="E947" s="5">
        <v>2990</v>
      </c>
      <c r="F947" s="5" t="s">
        <v>10</v>
      </c>
      <c r="G947" s="5" t="s">
        <v>11</v>
      </c>
      <c r="H947" s="3" t="s">
        <v>783</v>
      </c>
    </row>
    <row r="948" spans="1:8" ht="27.6" x14ac:dyDescent="0.25">
      <c r="A948" s="3" t="s">
        <v>1004</v>
      </c>
      <c r="B948" s="3" t="s">
        <v>1330</v>
      </c>
      <c r="C948" s="4" t="str">
        <f>HYPERLINK("http://www.rncp.cncp.gouv.fr/grand-public/visualisationFiche?format=fr&amp;fiche=21257","21257")</f>
        <v>21257</v>
      </c>
      <c r="D948" s="4" t="str">
        <f>HYPERLINK("http://www.intercariforef.org/formations/certification-65094.html","65094")</f>
        <v>65094</v>
      </c>
      <c r="E948" s="5">
        <v>2977</v>
      </c>
      <c r="F948" s="5" t="s">
        <v>10</v>
      </c>
      <c r="G948" s="5" t="s">
        <v>11</v>
      </c>
      <c r="H948" s="3" t="s">
        <v>750</v>
      </c>
    </row>
    <row r="949" spans="1:8" ht="13.8" x14ac:dyDescent="0.25">
      <c r="A949" s="3" t="s">
        <v>1004</v>
      </c>
      <c r="B949" s="3" t="s">
        <v>1331</v>
      </c>
      <c r="C949" s="4" t="str">
        <f>HYPERLINK("http://www.rncp.cncp.gouv.fr/grand-public/visualisationFiche?format=fr&amp;fiche=6097","6097")</f>
        <v>6097</v>
      </c>
      <c r="D949" s="4" t="str">
        <f>HYPERLINK("http://www.intercariforef.org/formations/certification-64771.html","64771")</f>
        <v>64771</v>
      </c>
      <c r="E949" s="5">
        <v>2987</v>
      </c>
      <c r="F949" s="5" t="s">
        <v>10</v>
      </c>
      <c r="G949" s="5" t="s">
        <v>11</v>
      </c>
      <c r="H949" s="3" t="s">
        <v>954</v>
      </c>
    </row>
    <row r="950" spans="1:8" ht="13.8" x14ac:dyDescent="0.25">
      <c r="A950" s="3" t="s">
        <v>1004</v>
      </c>
      <c r="B950" s="3" t="s">
        <v>1331</v>
      </c>
      <c r="C950" s="4" t="str">
        <f>HYPERLINK("http://www.rncp.cncp.gouv.fr/grand-public/visualisationFiche?format=fr&amp;fiche=5372","5372")</f>
        <v>5372</v>
      </c>
      <c r="D950" s="4" t="str">
        <f>HYPERLINK("http://www.intercariforef.org/formations/certification-50187.html","50187")</f>
        <v>50187</v>
      </c>
      <c r="E950" s="5">
        <v>2989</v>
      </c>
      <c r="F950" s="5" t="s">
        <v>10</v>
      </c>
      <c r="G950" s="5" t="s">
        <v>11</v>
      </c>
      <c r="H950" s="3" t="s">
        <v>784</v>
      </c>
    </row>
    <row r="951" spans="1:8" ht="27.6" x14ac:dyDescent="0.25">
      <c r="A951" s="3" t="s">
        <v>1004</v>
      </c>
      <c r="B951" s="3" t="s">
        <v>1332</v>
      </c>
      <c r="C951" s="4" t="str">
        <f>HYPERLINK("http://www.rncp.cncp.gouv.fr/grand-public/visualisationFiche?format=fr&amp;fiche=6235","6235")</f>
        <v>6235</v>
      </c>
      <c r="D951" s="4" t="str">
        <f>HYPERLINK("http://www.intercariforef.org/formations/certification-64769.html","64769")</f>
        <v>64769</v>
      </c>
      <c r="E951" s="5">
        <v>2976</v>
      </c>
      <c r="F951" s="5" t="s">
        <v>10</v>
      </c>
      <c r="G951" s="5" t="s">
        <v>11</v>
      </c>
      <c r="H951" s="3" t="s">
        <v>880</v>
      </c>
    </row>
    <row r="952" spans="1:8" ht="27.6" x14ac:dyDescent="0.25">
      <c r="A952" s="3" t="s">
        <v>1004</v>
      </c>
      <c r="B952" s="3" t="s">
        <v>1333</v>
      </c>
      <c r="C952" s="4" t="str">
        <f>HYPERLINK("http://www.rncp.cncp.gouv.fr/grand-public/visualisationFiche?format=fr&amp;fiche=12876","12876")</f>
        <v>12876</v>
      </c>
      <c r="D952" s="4" t="str">
        <f>HYPERLINK("http://www.intercariforef.org/formations/certification-69680.html","69680")</f>
        <v>69680</v>
      </c>
      <c r="E952" s="5">
        <v>19266</v>
      </c>
      <c r="F952" s="5" t="s">
        <v>10</v>
      </c>
      <c r="G952" s="5" t="s">
        <v>11</v>
      </c>
      <c r="H952" s="3" t="s">
        <v>742</v>
      </c>
    </row>
    <row r="953" spans="1:8" ht="13.8" x14ac:dyDescent="0.25">
      <c r="A953" s="3" t="s">
        <v>1004</v>
      </c>
      <c r="B953" s="3" t="s">
        <v>1334</v>
      </c>
      <c r="C953" s="4" t="str">
        <f>HYPERLINK("http://www.rncp.cncp.gouv.fr/grand-public/visualisationFiche?format=fr&amp;fiche=14122","14122")</f>
        <v>14122</v>
      </c>
      <c r="D953" s="4" t="str">
        <f>HYPERLINK("http://www.intercariforef.org/formations/certification-64773.html","64773")</f>
        <v>64773</v>
      </c>
      <c r="E953" s="5">
        <v>2992</v>
      </c>
      <c r="F953" s="5" t="s">
        <v>10</v>
      </c>
      <c r="G953" s="5" t="s">
        <v>11</v>
      </c>
      <c r="H953" s="3" t="s">
        <v>737</v>
      </c>
    </row>
    <row r="954" spans="1:8" ht="27.6" x14ac:dyDescent="0.25">
      <c r="A954" s="3" t="s">
        <v>1004</v>
      </c>
      <c r="B954" s="3" t="s">
        <v>1335</v>
      </c>
      <c r="C954" s="4" t="str">
        <f>HYPERLINK("http://www.rncp.cncp.gouv.fr/grand-public/visualisationFiche?format=fr&amp;fiche=17416","17416")</f>
        <v>17416</v>
      </c>
      <c r="D954" s="4" t="str">
        <f>HYPERLINK("http://www.intercariforef.org/formations/certification-64774.html","64774")</f>
        <v>64774</v>
      </c>
      <c r="E954" s="5">
        <v>2988</v>
      </c>
      <c r="F954" s="5" t="s">
        <v>10</v>
      </c>
      <c r="G954" s="5" t="s">
        <v>11</v>
      </c>
      <c r="H954" s="3" t="s">
        <v>813</v>
      </c>
    </row>
    <row r="955" spans="1:8" ht="27.6" x14ac:dyDescent="0.25">
      <c r="A955" s="3" t="s">
        <v>1004</v>
      </c>
      <c r="B955" s="3" t="s">
        <v>1335</v>
      </c>
      <c r="C955" s="5"/>
      <c r="D955" s="4" t="str">
        <f>HYPERLINK("http://www.intercariforef.org/formations/certification-65096.html","65096")</f>
        <v>65096</v>
      </c>
      <c r="E955" s="5">
        <v>2978</v>
      </c>
      <c r="F955" s="5" t="s">
        <v>10</v>
      </c>
      <c r="G955" s="5" t="s">
        <v>11</v>
      </c>
      <c r="H955" s="3" t="s">
        <v>776</v>
      </c>
    </row>
    <row r="956" spans="1:8" ht="13.8" x14ac:dyDescent="0.25">
      <c r="A956" s="3" t="s">
        <v>1004</v>
      </c>
      <c r="B956" s="3" t="s">
        <v>1336</v>
      </c>
      <c r="C956" s="4" t="str">
        <f>HYPERLINK("http://www.rncp.cncp.gouv.fr/grand-public/visualisationFiche?format=fr&amp;fiche=12877","12877")</f>
        <v>12877</v>
      </c>
      <c r="D956" s="4" t="str">
        <f>HYPERLINK("http://www.intercariforef.org/formations/certification-77196.html","77196")</f>
        <v>77196</v>
      </c>
      <c r="E956" s="5">
        <v>131751</v>
      </c>
      <c r="F956" s="5" t="s">
        <v>10</v>
      </c>
      <c r="G956" s="5" t="s">
        <v>11</v>
      </c>
      <c r="H956" s="3" t="s">
        <v>742</v>
      </c>
    </row>
    <row r="957" spans="1:8" ht="13.8" x14ac:dyDescent="0.25">
      <c r="A957" s="3" t="s">
        <v>1004</v>
      </c>
      <c r="B957" s="3" t="s">
        <v>1336</v>
      </c>
      <c r="C957" s="4" t="str">
        <f>HYPERLINK("http://www.rncp.cncp.gouv.fr/grand-public/visualisationFiche?format=fr&amp;fiche=19696","19696")</f>
        <v>19696</v>
      </c>
      <c r="D957" s="4" t="str">
        <f>HYPERLINK("http://www.intercariforef.org/formations/certification-71347.html","71347")</f>
        <v>71347</v>
      </c>
      <c r="E957" s="5">
        <v>131752</v>
      </c>
      <c r="F957" s="5" t="s">
        <v>10</v>
      </c>
      <c r="G957" s="5" t="s">
        <v>11</v>
      </c>
      <c r="H957" s="3" t="s">
        <v>771</v>
      </c>
    </row>
    <row r="958" spans="1:8" ht="13.8" x14ac:dyDescent="0.25">
      <c r="A958" s="3" t="s">
        <v>1004</v>
      </c>
      <c r="B958" s="3" t="s">
        <v>1337</v>
      </c>
      <c r="C958" s="5"/>
      <c r="D958" s="4" t="str">
        <f>HYPERLINK("http://www.intercariforef.org/formations/certification-83654.html","83654")</f>
        <v>83654</v>
      </c>
      <c r="E958" s="5">
        <v>16442</v>
      </c>
      <c r="F958" s="5" t="s">
        <v>10</v>
      </c>
      <c r="G958" s="5" t="s">
        <v>11</v>
      </c>
      <c r="H958" s="3" t="s">
        <v>815</v>
      </c>
    </row>
    <row r="959" spans="1:8" ht="13.8" x14ac:dyDescent="0.25">
      <c r="A959" s="3" t="s">
        <v>1004</v>
      </c>
      <c r="B959" s="3" t="s">
        <v>1338</v>
      </c>
      <c r="C959" s="4" t="str">
        <f>HYPERLINK("http://www.rncp.cncp.gouv.fr/grand-public/visualisationFiche?format=fr&amp;fiche=5201","5201")</f>
        <v>5201</v>
      </c>
      <c r="D959" s="4" t="str">
        <f>HYPERLINK("http://www.intercariforef.org/formations/certification-42730.html","42730")</f>
        <v>42730</v>
      </c>
      <c r="E959" s="5">
        <v>3437</v>
      </c>
      <c r="F959" s="5" t="s">
        <v>10</v>
      </c>
      <c r="G959" s="5" t="s">
        <v>11</v>
      </c>
      <c r="H959" s="3" t="s">
        <v>746</v>
      </c>
    </row>
    <row r="960" spans="1:8" ht="13.8" x14ac:dyDescent="0.25">
      <c r="A960" s="3" t="s">
        <v>1004</v>
      </c>
      <c r="B960" s="3" t="s">
        <v>1339</v>
      </c>
      <c r="C960" s="4" t="str">
        <f>HYPERLINK("http://www.rncp.cncp.gouv.fr/grand-public/visualisationFiche?format=fr&amp;fiche=15515","15515")</f>
        <v>15515</v>
      </c>
      <c r="D960" s="4" t="str">
        <f>HYPERLINK("http://www.intercariforef.org/formations/certification-58702.html","58702")</f>
        <v>58702</v>
      </c>
      <c r="E960" s="5">
        <v>131739</v>
      </c>
      <c r="F960" s="5" t="s">
        <v>10</v>
      </c>
      <c r="G960" s="5" t="s">
        <v>11</v>
      </c>
      <c r="H960" s="3" t="s">
        <v>776</v>
      </c>
    </row>
    <row r="961" spans="1:8" ht="27.6" x14ac:dyDescent="0.25">
      <c r="A961" s="3" t="s">
        <v>1004</v>
      </c>
      <c r="B961" s="3" t="s">
        <v>1340</v>
      </c>
      <c r="C961" s="5"/>
      <c r="D961" s="4" t="str">
        <f>HYPERLINK("http://www.intercariforef.org/formations/certification-60251.html","60251")</f>
        <v>60251</v>
      </c>
      <c r="E961" s="5">
        <v>131691</v>
      </c>
      <c r="F961" s="5" t="s">
        <v>10</v>
      </c>
      <c r="G961" s="5" t="s">
        <v>11</v>
      </c>
      <c r="H961" s="3" t="s">
        <v>934</v>
      </c>
    </row>
    <row r="962" spans="1:8" ht="13.8" x14ac:dyDescent="0.25">
      <c r="A962" s="3" t="s">
        <v>1004</v>
      </c>
      <c r="B962" s="3" t="s">
        <v>1341</v>
      </c>
      <c r="C962" s="5"/>
      <c r="D962" s="4" t="str">
        <f>HYPERLINK("http://www.intercariforef.org/formations/certification-71454.html","71454")</f>
        <v>71454</v>
      </c>
      <c r="E962" s="5">
        <v>131740</v>
      </c>
      <c r="F962" s="5" t="s">
        <v>10</v>
      </c>
      <c r="G962" s="5" t="s">
        <v>11</v>
      </c>
      <c r="H962" s="3" t="s">
        <v>1225</v>
      </c>
    </row>
    <row r="963" spans="1:8" ht="13.8" x14ac:dyDescent="0.25">
      <c r="A963" s="3" t="s">
        <v>1004</v>
      </c>
      <c r="B963" s="3" t="s">
        <v>1342</v>
      </c>
      <c r="C963" s="4" t="str">
        <f>HYPERLINK("http://www.rncp.cncp.gouv.fr/grand-public/visualisationFiche?format=fr&amp;fiche=5427","5427")</f>
        <v>5427</v>
      </c>
      <c r="D963" s="4" t="str">
        <f>HYPERLINK("http://www.intercariforef.org/formations/certification-76529.html","76529")</f>
        <v>76529</v>
      </c>
      <c r="E963" s="5">
        <v>2985</v>
      </c>
      <c r="F963" s="5" t="s">
        <v>10</v>
      </c>
      <c r="G963" s="5" t="s">
        <v>11</v>
      </c>
      <c r="H963" s="3" t="s">
        <v>787</v>
      </c>
    </row>
    <row r="964" spans="1:8" ht="13.8" x14ac:dyDescent="0.25">
      <c r="A964" s="3" t="s">
        <v>1004</v>
      </c>
      <c r="B964" s="3" t="s">
        <v>1343</v>
      </c>
      <c r="C964" s="4" t="str">
        <f>HYPERLINK("http://www.rncp.cncp.gouv.fr/grand-public/visualisationFiche?format=fr&amp;fiche=3359","3359")</f>
        <v>3359</v>
      </c>
      <c r="D964" s="4" t="str">
        <f>HYPERLINK("http://www.intercariforef.org/formations/certification-16651.html","16651")</f>
        <v>16651</v>
      </c>
      <c r="E964" s="5">
        <v>131738</v>
      </c>
      <c r="F964" s="5" t="s">
        <v>10</v>
      </c>
      <c r="G964" s="5" t="s">
        <v>11</v>
      </c>
      <c r="H964" s="3" t="s">
        <v>753</v>
      </c>
    </row>
    <row r="965" spans="1:8" ht="27.6" x14ac:dyDescent="0.25">
      <c r="A965" s="3" t="s">
        <v>1004</v>
      </c>
      <c r="B965" s="3" t="s">
        <v>1344</v>
      </c>
      <c r="C965" s="4" t="str">
        <f>HYPERLINK("http://www.rncp.cncp.gouv.fr/grand-public/visualisationFiche?format=fr&amp;fiche=15136","15136")</f>
        <v>15136</v>
      </c>
      <c r="D965" s="4" t="str">
        <f>HYPERLINK("http://www.intercariforef.org/formations/certification-78952.html","78952")</f>
        <v>78952</v>
      </c>
      <c r="E965" s="5">
        <v>4424</v>
      </c>
      <c r="F965" s="5" t="s">
        <v>10</v>
      </c>
      <c r="G965" s="5" t="s">
        <v>11</v>
      </c>
      <c r="H965" s="3" t="s">
        <v>34</v>
      </c>
    </row>
    <row r="966" spans="1:8" ht="27.6" x14ac:dyDescent="0.25">
      <c r="A966" s="3" t="s">
        <v>1004</v>
      </c>
      <c r="B966" s="3" t="s">
        <v>1345</v>
      </c>
      <c r="C966" s="4" t="str">
        <f>HYPERLINK("http://www.rncp.cncp.gouv.fr/grand-public/visualisationFiche?format=fr&amp;fiche=3606","3606")</f>
        <v>3606</v>
      </c>
      <c r="D966" s="4" t="str">
        <f>HYPERLINK("http://www.intercariforef.org/formations/certification-55342.html","55342")</f>
        <v>55342</v>
      </c>
      <c r="E966" s="5">
        <v>3568</v>
      </c>
      <c r="F966" s="5" t="s">
        <v>10</v>
      </c>
      <c r="G966" s="5" t="s">
        <v>11</v>
      </c>
      <c r="H966" s="3" t="s">
        <v>954</v>
      </c>
    </row>
    <row r="967" spans="1:8" ht="27.6" x14ac:dyDescent="0.25">
      <c r="A967" s="3" t="s">
        <v>1004</v>
      </c>
      <c r="B967" s="3" t="s">
        <v>1346</v>
      </c>
      <c r="C967" s="4" t="str">
        <f>HYPERLINK("http://www.rncp.cncp.gouv.fr/grand-public/visualisationFiche?format=fr&amp;fiche=3837","3837")</f>
        <v>3837</v>
      </c>
      <c r="D967" s="4" t="str">
        <f>HYPERLINK("http://www.intercariforef.org/formations/certification-55279.html","55279")</f>
        <v>55279</v>
      </c>
      <c r="E967" s="5">
        <v>16455</v>
      </c>
      <c r="F967" s="5" t="s">
        <v>10</v>
      </c>
      <c r="G967" s="5" t="s">
        <v>11</v>
      </c>
      <c r="H967" s="3" t="s">
        <v>766</v>
      </c>
    </row>
    <row r="968" spans="1:8" ht="27.6" x14ac:dyDescent="0.25">
      <c r="A968" s="3" t="s">
        <v>1004</v>
      </c>
      <c r="B968" s="3" t="s">
        <v>1347</v>
      </c>
      <c r="C968" s="4" t="str">
        <f>HYPERLINK("http://www.rncp.cncp.gouv.fr/grand-public/visualisationFiche?format=fr&amp;fiche=15089","15089")</f>
        <v>15089</v>
      </c>
      <c r="D968" s="4" t="str">
        <f>HYPERLINK("http://www.intercariforef.org/formations/certification-78953.html","78953")</f>
        <v>78953</v>
      </c>
      <c r="E968" s="5">
        <v>4425</v>
      </c>
      <c r="F968" s="5" t="s">
        <v>10</v>
      </c>
      <c r="G968" s="5" t="s">
        <v>11</v>
      </c>
      <c r="H968" s="3" t="s">
        <v>34</v>
      </c>
    </row>
    <row r="969" spans="1:8" ht="27.6" x14ac:dyDescent="0.25">
      <c r="A969" s="3" t="s">
        <v>1004</v>
      </c>
      <c r="B969" s="3" t="s">
        <v>1348</v>
      </c>
      <c r="C969" s="5"/>
      <c r="D969" s="4" t="str">
        <f>HYPERLINK("http://www.intercariforef.org/formations/certification-68951.html","68951")</f>
        <v>68951</v>
      </c>
      <c r="E969" s="5">
        <v>4421</v>
      </c>
      <c r="F969" s="5" t="s">
        <v>10</v>
      </c>
      <c r="G969" s="5" t="s">
        <v>11</v>
      </c>
      <c r="H969" s="3" t="s">
        <v>34</v>
      </c>
    </row>
    <row r="970" spans="1:8" ht="27.6" x14ac:dyDescent="0.25">
      <c r="A970" s="3" t="s">
        <v>1004</v>
      </c>
      <c r="B970" s="3" t="s">
        <v>1349</v>
      </c>
      <c r="C970" s="4" t="str">
        <f>HYPERLINK("http://www.rncp.cncp.gouv.fr/grand-public/visualisationFiche?format=fr&amp;fiche=5277","5277")</f>
        <v>5277</v>
      </c>
      <c r="D970" s="4" t="str">
        <f>HYPERLINK("http://www.intercariforef.org/formations/certification-42488.html","42488")</f>
        <v>42488</v>
      </c>
      <c r="E970" s="5">
        <v>4410</v>
      </c>
      <c r="F970" s="5" t="s">
        <v>10</v>
      </c>
      <c r="G970" s="5" t="s">
        <v>11</v>
      </c>
      <c r="H970" s="3" t="s">
        <v>744</v>
      </c>
    </row>
    <row r="971" spans="1:8" ht="27.6" x14ac:dyDescent="0.25">
      <c r="A971" s="3" t="s">
        <v>1004</v>
      </c>
      <c r="B971" s="3" t="s">
        <v>1350</v>
      </c>
      <c r="C971" s="4" t="str">
        <f>HYPERLINK("http://www.rncp.cncp.gouv.fr/grand-public/visualisationFiche?format=fr&amp;fiche=3323","3323")</f>
        <v>3323</v>
      </c>
      <c r="D971" s="4" t="str">
        <f>HYPERLINK("http://www.intercariforef.org/formations/certification-16790.html","16790")</f>
        <v>16790</v>
      </c>
      <c r="E971" s="5">
        <v>4409</v>
      </c>
      <c r="F971" s="5" t="s">
        <v>10</v>
      </c>
      <c r="G971" s="5" t="s">
        <v>11</v>
      </c>
      <c r="H971" s="3" t="s">
        <v>1221</v>
      </c>
    </row>
    <row r="972" spans="1:8" ht="27.6" x14ac:dyDescent="0.25">
      <c r="A972" s="3" t="s">
        <v>1004</v>
      </c>
      <c r="B972" s="3" t="s">
        <v>1351</v>
      </c>
      <c r="C972" s="4" t="str">
        <f>HYPERLINK("http://www.rncp.cncp.gouv.fr/grand-public/visualisationFiche?format=fr&amp;fiche=12954","12954")</f>
        <v>12954</v>
      </c>
      <c r="D972" s="4" t="str">
        <f>HYPERLINK("http://www.intercariforef.org/formations/certification-77684.html","77684")</f>
        <v>77684</v>
      </c>
      <c r="E972" s="5">
        <v>4422</v>
      </c>
      <c r="F972" s="5" t="s">
        <v>10</v>
      </c>
      <c r="G972" s="5" t="s">
        <v>11</v>
      </c>
      <c r="H972" s="3" t="s">
        <v>734</v>
      </c>
    </row>
    <row r="973" spans="1:8" ht="13.8" x14ac:dyDescent="0.25">
      <c r="A973" s="3" t="s">
        <v>1004</v>
      </c>
      <c r="B973" s="3" t="s">
        <v>1352</v>
      </c>
      <c r="C973" s="4" t="str">
        <f>HYPERLINK("http://www.rncp.cncp.gouv.fr/grand-public/visualisationFiche?format=fr&amp;fiche=6437","6437")</f>
        <v>6437</v>
      </c>
      <c r="D973" s="4" t="str">
        <f>HYPERLINK("http://www.intercariforef.org/formations/certification-60638.html","60638")</f>
        <v>60638</v>
      </c>
      <c r="E973" s="5">
        <v>4418</v>
      </c>
      <c r="F973" s="5" t="s">
        <v>10</v>
      </c>
      <c r="G973" s="5" t="s">
        <v>11</v>
      </c>
      <c r="H973" s="3" t="s">
        <v>783</v>
      </c>
    </row>
    <row r="974" spans="1:8" ht="27.6" x14ac:dyDescent="0.25">
      <c r="A974" s="3" t="s">
        <v>1004</v>
      </c>
      <c r="B974" s="3" t="s">
        <v>1353</v>
      </c>
      <c r="C974" s="4" t="str">
        <f>HYPERLINK("http://www.rncp.cncp.gouv.fr/grand-public/visualisationFiche?format=fr&amp;fiche=3520","3520")</f>
        <v>3520</v>
      </c>
      <c r="D974" s="4" t="str">
        <f>HYPERLINK("http://www.intercariforef.org/formations/certification-42489.html","42489")</f>
        <v>42489</v>
      </c>
      <c r="E974" s="5">
        <v>3569</v>
      </c>
      <c r="F974" s="5" t="s">
        <v>10</v>
      </c>
      <c r="G974" s="5" t="s">
        <v>11</v>
      </c>
      <c r="H974" s="3" t="s">
        <v>733</v>
      </c>
    </row>
    <row r="975" spans="1:8" ht="27.6" x14ac:dyDescent="0.25">
      <c r="A975" s="3" t="s">
        <v>1004</v>
      </c>
      <c r="B975" s="3" t="s">
        <v>1354</v>
      </c>
      <c r="C975" s="4" t="str">
        <f>HYPERLINK("http://www.rncp.cncp.gouv.fr/grand-public/visualisationFiche?format=fr&amp;fiche=4942","4942")</f>
        <v>4942</v>
      </c>
      <c r="D975" s="4" t="str">
        <f>HYPERLINK("http://www.intercariforef.org/formations/certification-69272.html","69272")</f>
        <v>69272</v>
      </c>
      <c r="E975" s="5">
        <v>19295</v>
      </c>
      <c r="F975" s="5" t="s">
        <v>10</v>
      </c>
      <c r="G975" s="5" t="s">
        <v>11</v>
      </c>
      <c r="H975" s="3" t="s">
        <v>813</v>
      </c>
    </row>
    <row r="976" spans="1:8" ht="27.6" x14ac:dyDescent="0.25">
      <c r="A976" s="3" t="s">
        <v>1004</v>
      </c>
      <c r="B976" s="3" t="s">
        <v>1355</v>
      </c>
      <c r="C976" s="4" t="str">
        <f>HYPERLINK("http://www.rncp.cncp.gouv.fr/grand-public/visualisationFiche?format=fr&amp;fiche=7567","7567")</f>
        <v>7567</v>
      </c>
      <c r="D976" s="4" t="str">
        <f>HYPERLINK("http://www.intercariforef.org/formations/certification-53603.html","53603")</f>
        <v>53603</v>
      </c>
      <c r="E976" s="5">
        <v>4414</v>
      </c>
      <c r="F976" s="5" t="s">
        <v>10</v>
      </c>
      <c r="G976" s="5" t="s">
        <v>11</v>
      </c>
      <c r="H976" s="3" t="s">
        <v>538</v>
      </c>
    </row>
    <row r="977" spans="1:8" ht="27.6" x14ac:dyDescent="0.25">
      <c r="A977" s="3" t="s">
        <v>1004</v>
      </c>
      <c r="B977" s="3" t="s">
        <v>1356</v>
      </c>
      <c r="C977" s="4" t="str">
        <f>HYPERLINK("http://www.rncp.cncp.gouv.fr/grand-public/visualisationFiche?format=fr&amp;fiche=6446","6446")</f>
        <v>6446</v>
      </c>
      <c r="D977" s="4" t="str">
        <f>HYPERLINK("http://www.intercariforef.org/formations/certification-55315.html","55315")</f>
        <v>55315</v>
      </c>
      <c r="E977" s="5">
        <v>4415</v>
      </c>
      <c r="F977" s="5" t="s">
        <v>10</v>
      </c>
      <c r="G977" s="5" t="s">
        <v>11</v>
      </c>
      <c r="H977" s="3" t="s">
        <v>783</v>
      </c>
    </row>
    <row r="978" spans="1:8" ht="27.6" x14ac:dyDescent="0.25">
      <c r="A978" s="3" t="s">
        <v>1004</v>
      </c>
      <c r="B978" s="3" t="s">
        <v>1357</v>
      </c>
      <c r="C978" s="4" t="str">
        <f>HYPERLINK("http://www.rncp.cncp.gouv.fr/grand-public/visualisationFiche?format=fr&amp;fiche=13277","13277")</f>
        <v>13277</v>
      </c>
      <c r="D978" s="4" t="str">
        <f>HYPERLINK("http://www.intercariforef.org/formations/certification-68831.html","68831")</f>
        <v>68831</v>
      </c>
      <c r="E978" s="5">
        <v>4420</v>
      </c>
      <c r="F978" s="5" t="s">
        <v>10</v>
      </c>
      <c r="G978" s="5" t="s">
        <v>11</v>
      </c>
      <c r="H978" s="3" t="s">
        <v>892</v>
      </c>
    </row>
    <row r="979" spans="1:8" ht="27.6" x14ac:dyDescent="0.25">
      <c r="A979" s="3" t="s">
        <v>1004</v>
      </c>
      <c r="B979" s="3" t="s">
        <v>1358</v>
      </c>
      <c r="C979" s="4" t="str">
        <f>HYPERLINK("http://www.rncp.cncp.gouv.fr/grand-public/visualisationFiche?format=fr&amp;fiche=9699","9699")</f>
        <v>9699</v>
      </c>
      <c r="D979" s="4" t="str">
        <f>HYPERLINK("http://www.intercariforef.org/formations/certification-50250.html","50250")</f>
        <v>50250</v>
      </c>
      <c r="E979" s="5">
        <v>4412</v>
      </c>
      <c r="F979" s="5" t="s">
        <v>10</v>
      </c>
      <c r="G979" s="5" t="s">
        <v>11</v>
      </c>
      <c r="H979" s="3" t="s">
        <v>538</v>
      </c>
    </row>
    <row r="980" spans="1:8" ht="27.6" x14ac:dyDescent="0.25">
      <c r="A980" s="3" t="s">
        <v>1004</v>
      </c>
      <c r="B980" s="3" t="s">
        <v>1359</v>
      </c>
      <c r="C980" s="4" t="str">
        <f>HYPERLINK("http://www.rncp.cncp.gouv.fr/grand-public/visualisationFiche?format=fr&amp;fiche=7079","7079")</f>
        <v>7079</v>
      </c>
      <c r="D980" s="4" t="str">
        <f>HYPERLINK("http://www.intercariforef.org/formations/certification-58846.html","58846")</f>
        <v>58846</v>
      </c>
      <c r="E980" s="5">
        <v>4417</v>
      </c>
      <c r="F980" s="5" t="s">
        <v>10</v>
      </c>
      <c r="G980" s="5" t="s">
        <v>11</v>
      </c>
      <c r="H980" s="3" t="s">
        <v>739</v>
      </c>
    </row>
    <row r="981" spans="1:8" ht="27.6" x14ac:dyDescent="0.25">
      <c r="A981" s="3" t="s">
        <v>1004</v>
      </c>
      <c r="B981" s="3" t="s">
        <v>1360</v>
      </c>
      <c r="C981" s="4" t="str">
        <f>HYPERLINK("http://www.rncp.cncp.gouv.fr/grand-public/visualisationFiche?format=fr&amp;fiche=13313","13313")</f>
        <v>13313</v>
      </c>
      <c r="D981" s="4" t="str">
        <f>HYPERLINK("http://www.intercariforef.org/formations/certification-68897.html","68897")</f>
        <v>68897</v>
      </c>
      <c r="E981" s="5">
        <v>3563</v>
      </c>
      <c r="F981" s="5" t="s">
        <v>10</v>
      </c>
      <c r="G981" s="5" t="s">
        <v>11</v>
      </c>
      <c r="H981" s="3" t="s">
        <v>746</v>
      </c>
    </row>
    <row r="982" spans="1:8" ht="13.8" x14ac:dyDescent="0.25">
      <c r="A982" s="3" t="s">
        <v>1004</v>
      </c>
      <c r="B982" s="3" t="s">
        <v>1361</v>
      </c>
      <c r="C982" s="4" t="str">
        <f>HYPERLINK("http://www.rncp.cncp.gouv.fr/grand-public/visualisationFiche?format=fr&amp;fiche=10186","10186")</f>
        <v>10186</v>
      </c>
      <c r="D982" s="4" t="str">
        <f>HYPERLINK("http://www.intercariforef.org/formations/certification-64178.html","64178")</f>
        <v>64178</v>
      </c>
      <c r="E982" s="5">
        <v>4408</v>
      </c>
      <c r="F982" s="5" t="s">
        <v>10</v>
      </c>
      <c r="G982" s="5" t="s">
        <v>11</v>
      </c>
      <c r="H982" s="3" t="s">
        <v>880</v>
      </c>
    </row>
    <row r="983" spans="1:8" ht="27.6" x14ac:dyDescent="0.25">
      <c r="A983" s="3" t="s">
        <v>1004</v>
      </c>
      <c r="B983" s="3" t="s">
        <v>1362</v>
      </c>
      <c r="C983" s="4" t="str">
        <f>HYPERLINK("http://www.rncp.cncp.gouv.fr/grand-public/visualisationFiche?format=fr&amp;fiche=10975","10975")</f>
        <v>10975</v>
      </c>
      <c r="D983" s="4" t="str">
        <f>HYPERLINK("http://www.intercariforef.org/formations/certification-77864.html","77864")</f>
        <v>77864</v>
      </c>
      <c r="E983" s="5">
        <v>4423</v>
      </c>
      <c r="F983" s="5" t="s">
        <v>10</v>
      </c>
      <c r="G983" s="5" t="s">
        <v>11</v>
      </c>
      <c r="H983" s="3" t="s">
        <v>733</v>
      </c>
    </row>
    <row r="984" spans="1:8" ht="27.6" x14ac:dyDescent="0.25">
      <c r="A984" s="3" t="s">
        <v>1004</v>
      </c>
      <c r="B984" s="3" t="s">
        <v>1363</v>
      </c>
      <c r="C984" s="4" t="str">
        <f>HYPERLINK("http://www.rncp.cncp.gouv.fr/grand-public/visualisationFiche?format=fr&amp;fiche=17701","17701")</f>
        <v>17701</v>
      </c>
      <c r="D984" s="4" t="str">
        <f>HYPERLINK("http://www.intercariforef.org/formations/certification-75090.html","75090")</f>
        <v>75090</v>
      </c>
      <c r="E984" s="5">
        <v>5567</v>
      </c>
      <c r="F984" s="5" t="s">
        <v>10</v>
      </c>
      <c r="G984" s="5" t="s">
        <v>11</v>
      </c>
      <c r="H984" s="3" t="s">
        <v>1364</v>
      </c>
    </row>
    <row r="985" spans="1:8" ht="27.6" x14ac:dyDescent="0.25">
      <c r="A985" s="3" t="s">
        <v>1004</v>
      </c>
      <c r="B985" s="3" t="s">
        <v>1365</v>
      </c>
      <c r="C985" s="4" t="str">
        <f>HYPERLINK("http://www.rncp.cncp.gouv.fr/grand-public/visualisationFiche?format=fr&amp;fiche=3605","3605")</f>
        <v>3605</v>
      </c>
      <c r="D985" s="4" t="str">
        <f>HYPERLINK("http://www.intercariforef.org/formations/certification-55344.html","55344")</f>
        <v>55344</v>
      </c>
      <c r="E985" s="5">
        <v>3570</v>
      </c>
      <c r="F985" s="5" t="s">
        <v>10</v>
      </c>
      <c r="G985" s="5" t="s">
        <v>11</v>
      </c>
      <c r="H985" s="3" t="s">
        <v>954</v>
      </c>
    </row>
    <row r="986" spans="1:8" ht="27.6" x14ac:dyDescent="0.25">
      <c r="A986" s="3" t="s">
        <v>1004</v>
      </c>
      <c r="B986" s="3" t="s">
        <v>1366</v>
      </c>
      <c r="C986" s="4" t="str">
        <f>HYPERLINK("http://www.rncp.cncp.gouv.fr/grand-public/visualisationFiche?format=fr&amp;fiche=3195","3195")</f>
        <v>3195</v>
      </c>
      <c r="D986" s="4" t="str">
        <f>HYPERLINK("http://www.intercariforef.org/formations/certification-42498.html","42498")</f>
        <v>42498</v>
      </c>
      <c r="E986" s="5">
        <v>3571</v>
      </c>
      <c r="F986" s="5" t="s">
        <v>10</v>
      </c>
      <c r="G986" s="5" t="s">
        <v>11</v>
      </c>
      <c r="H986" s="3" t="s">
        <v>771</v>
      </c>
    </row>
    <row r="987" spans="1:8" ht="27.6" x14ac:dyDescent="0.25">
      <c r="A987" s="3" t="s">
        <v>1004</v>
      </c>
      <c r="B987" s="3" t="s">
        <v>1367</v>
      </c>
      <c r="C987" s="4" t="str">
        <f>HYPERLINK("http://www.rncp.cncp.gouv.fr/grand-public/visualisationFiche?format=fr&amp;fiche=16826","16826")</f>
        <v>16826</v>
      </c>
      <c r="D987" s="4" t="str">
        <f>HYPERLINK("http://www.intercariforef.org/formations/certification-59946.html","59946")</f>
        <v>59946</v>
      </c>
      <c r="E987" s="5">
        <v>144843</v>
      </c>
      <c r="F987" s="5" t="s">
        <v>10</v>
      </c>
      <c r="G987" s="5" t="s">
        <v>11</v>
      </c>
      <c r="H987" s="3" t="s">
        <v>965</v>
      </c>
    </row>
    <row r="988" spans="1:8" ht="27.6" x14ac:dyDescent="0.25">
      <c r="A988" s="3" t="s">
        <v>1004</v>
      </c>
      <c r="B988" s="3" t="s">
        <v>1368</v>
      </c>
      <c r="C988" s="4" t="str">
        <f>HYPERLINK("http://www.rncp.cncp.gouv.fr/grand-public/visualisationFiche?format=fr&amp;fiche=4582","4582")</f>
        <v>4582</v>
      </c>
      <c r="D988" s="4" t="str">
        <f>HYPERLINK("http://www.intercariforef.org/formations/certification-42815.html","42815")</f>
        <v>42815</v>
      </c>
      <c r="E988" s="5">
        <v>3565</v>
      </c>
      <c r="F988" s="5" t="s">
        <v>10</v>
      </c>
      <c r="G988" s="5" t="s">
        <v>11</v>
      </c>
      <c r="H988" s="3" t="s">
        <v>1163</v>
      </c>
    </row>
    <row r="989" spans="1:8" ht="27.6" x14ac:dyDescent="0.25">
      <c r="A989" s="3" t="s">
        <v>1004</v>
      </c>
      <c r="B989" s="3" t="s">
        <v>1369</v>
      </c>
      <c r="C989" s="4" t="str">
        <f>HYPERLINK("http://www.rncp.cncp.gouv.fr/grand-public/visualisationFiche?format=fr&amp;fiche=5349","5349")</f>
        <v>5349</v>
      </c>
      <c r="D989" s="4" t="str">
        <f>HYPERLINK("http://www.intercariforef.org/formations/certification-55091.html","55091")</f>
        <v>55091</v>
      </c>
      <c r="E989" s="5">
        <v>5266</v>
      </c>
      <c r="F989" s="5" t="s">
        <v>10</v>
      </c>
      <c r="G989" s="5" t="s">
        <v>11</v>
      </c>
      <c r="H989" s="3" t="s">
        <v>899</v>
      </c>
    </row>
    <row r="990" spans="1:8" ht="27.6" x14ac:dyDescent="0.25">
      <c r="A990" s="3" t="s">
        <v>1004</v>
      </c>
      <c r="B990" s="3" t="s">
        <v>1369</v>
      </c>
      <c r="C990" s="4" t="str">
        <f>HYPERLINK("http://www.rncp.cncp.gouv.fr/grand-public/visualisationFiche?format=fr&amp;fiche=3284","3284")</f>
        <v>3284</v>
      </c>
      <c r="D990" s="4" t="str">
        <f>HYPERLINK("http://www.intercariforef.org/formations/certification-57311.html","57311")</f>
        <v>57311</v>
      </c>
      <c r="E990" s="5">
        <v>3566</v>
      </c>
      <c r="F990" s="5" t="s">
        <v>10</v>
      </c>
      <c r="G990" s="5" t="s">
        <v>11</v>
      </c>
      <c r="H990" s="3" t="s">
        <v>1221</v>
      </c>
    </row>
    <row r="991" spans="1:8" ht="13.8" x14ac:dyDescent="0.25">
      <c r="A991" s="3" t="s">
        <v>1004</v>
      </c>
      <c r="B991" s="3" t="s">
        <v>1370</v>
      </c>
      <c r="C991" s="4" t="str">
        <f>HYPERLINK("http://www.rncp.cncp.gouv.fr/grand-public/visualisationFiche?format=fr&amp;fiche=3525","3525")</f>
        <v>3525</v>
      </c>
      <c r="D991" s="4" t="str">
        <f>HYPERLINK("http://www.intercariforef.org/formations/certification-54998.html","54998")</f>
        <v>54998</v>
      </c>
      <c r="E991" s="5">
        <v>4407</v>
      </c>
      <c r="F991" s="5" t="s">
        <v>10</v>
      </c>
      <c r="G991" s="5" t="s">
        <v>11</v>
      </c>
      <c r="H991" s="3" t="s">
        <v>1225</v>
      </c>
    </row>
    <row r="992" spans="1:8" ht="27.6" x14ac:dyDescent="0.25">
      <c r="A992" s="3" t="s">
        <v>1004</v>
      </c>
      <c r="B992" s="3" t="s">
        <v>1371</v>
      </c>
      <c r="C992" s="4" t="str">
        <f>HYPERLINK("http://www.rncp.cncp.gouv.fr/grand-public/visualisationFiche?format=fr&amp;fiche=11661","11661")</f>
        <v>11661</v>
      </c>
      <c r="D992" s="4" t="str">
        <f>HYPERLINK("http://www.intercariforef.org/formations/certification-64842.html","64842")</f>
        <v>64842</v>
      </c>
      <c r="E992" s="5">
        <v>4419</v>
      </c>
      <c r="F992" s="5" t="s">
        <v>10</v>
      </c>
      <c r="G992" s="5" t="s">
        <v>11</v>
      </c>
      <c r="H992" s="3" t="s">
        <v>737</v>
      </c>
    </row>
    <row r="993" spans="1:8" ht="27.6" x14ac:dyDescent="0.25">
      <c r="A993" s="3" t="s">
        <v>1004</v>
      </c>
      <c r="B993" s="3" t="s">
        <v>1372</v>
      </c>
      <c r="C993" s="4" t="str">
        <f>HYPERLINK("http://www.rncp.cncp.gouv.fr/grand-public/visualisationFiche?format=fr&amp;fiche=16534","16534")</f>
        <v>16534</v>
      </c>
      <c r="D993" s="4" t="str">
        <f>HYPERLINK("http://www.intercariforef.org/formations/certification-58796.html","58796")</f>
        <v>58796</v>
      </c>
      <c r="E993" s="5">
        <v>4416</v>
      </c>
      <c r="F993" s="5" t="s">
        <v>10</v>
      </c>
      <c r="G993" s="5" t="s">
        <v>11</v>
      </c>
      <c r="H993" s="3" t="s">
        <v>813</v>
      </c>
    </row>
    <row r="994" spans="1:8" ht="27.6" x14ac:dyDescent="0.25">
      <c r="A994" s="3" t="s">
        <v>1004</v>
      </c>
      <c r="B994" s="3" t="s">
        <v>1373</v>
      </c>
      <c r="C994" s="4" t="str">
        <f>HYPERLINK("http://www.rncp.cncp.gouv.fr/grand-public/visualisationFiche?format=fr&amp;fiche=11083","11083")</f>
        <v>11083</v>
      </c>
      <c r="D994" s="4" t="str">
        <f>HYPERLINK("http://www.intercariforef.org/formations/certification-50062.html","50062")</f>
        <v>50062</v>
      </c>
      <c r="E994" s="5">
        <v>4411</v>
      </c>
      <c r="F994" s="5" t="s">
        <v>10</v>
      </c>
      <c r="G994" s="5" t="s">
        <v>11</v>
      </c>
      <c r="H994" s="3" t="s">
        <v>758</v>
      </c>
    </row>
    <row r="995" spans="1:8" ht="27.6" x14ac:dyDescent="0.25">
      <c r="A995" s="3" t="s">
        <v>1004</v>
      </c>
      <c r="B995" s="3" t="s">
        <v>1374</v>
      </c>
      <c r="C995" s="4" t="str">
        <f>HYPERLINK("http://www.rncp.cncp.gouv.fr/grand-public/visualisationFiche?format=fr&amp;fiche=14620","14620")</f>
        <v>14620</v>
      </c>
      <c r="D995" s="4" t="str">
        <f>HYPERLINK("http://www.intercariforef.org/formations/certification-53599.html","53599")</f>
        <v>53599</v>
      </c>
      <c r="E995" s="5">
        <v>4413</v>
      </c>
      <c r="F995" s="5" t="s">
        <v>10</v>
      </c>
      <c r="G995" s="5" t="s">
        <v>11</v>
      </c>
      <c r="H995" s="3" t="s">
        <v>742</v>
      </c>
    </row>
    <row r="996" spans="1:8" ht="13.8" x14ac:dyDescent="0.25">
      <c r="A996" s="3" t="s">
        <v>1004</v>
      </c>
      <c r="B996" s="3" t="s">
        <v>1375</v>
      </c>
      <c r="C996" s="4" t="str">
        <f>HYPERLINK("http://www.rncp.cncp.gouv.fr/grand-public/visualisationFiche?format=fr&amp;fiche=3568","3568")</f>
        <v>3568</v>
      </c>
      <c r="D996" s="4" t="str">
        <f>HYPERLINK("http://www.intercariforef.org/formations/certification-64983.html","64983")</f>
        <v>64983</v>
      </c>
      <c r="E996" s="5">
        <v>4745</v>
      </c>
      <c r="F996" s="5" t="s">
        <v>10</v>
      </c>
      <c r="G996" s="5" t="s">
        <v>11</v>
      </c>
      <c r="H996" s="3" t="s">
        <v>758</v>
      </c>
    </row>
    <row r="997" spans="1:8" ht="13.8" x14ac:dyDescent="0.25">
      <c r="A997" s="3" t="s">
        <v>1004</v>
      </c>
      <c r="B997" s="3" t="s">
        <v>1375</v>
      </c>
      <c r="C997" s="5"/>
      <c r="D997" s="4" t="str">
        <f>HYPERLINK("http://www.intercariforef.org/formations/certification-64984.html","64984")</f>
        <v>64984</v>
      </c>
      <c r="E997" s="5">
        <v>144991</v>
      </c>
      <c r="F997" s="5" t="s">
        <v>10</v>
      </c>
      <c r="G997" s="5" t="s">
        <v>11</v>
      </c>
      <c r="H997" s="3" t="s">
        <v>905</v>
      </c>
    </row>
    <row r="998" spans="1:8" ht="27.6" x14ac:dyDescent="0.25">
      <c r="A998" s="3" t="s">
        <v>1004</v>
      </c>
      <c r="B998" s="3" t="s">
        <v>1376</v>
      </c>
      <c r="C998" s="4" t="str">
        <f>HYPERLINK("http://www.rncp.cncp.gouv.fr/grand-public/visualisationFiche?format=fr&amp;fiche=5977","5977")</f>
        <v>5977</v>
      </c>
      <c r="D998" s="4" t="str">
        <f>HYPERLINK("http://www.intercariforef.org/formations/certification-78954.html","78954")</f>
        <v>78954</v>
      </c>
      <c r="E998" s="5">
        <v>4789</v>
      </c>
      <c r="F998" s="5" t="s">
        <v>10</v>
      </c>
      <c r="G998" s="5" t="s">
        <v>11</v>
      </c>
      <c r="H998" s="3" t="s">
        <v>34</v>
      </c>
    </row>
    <row r="999" spans="1:8" ht="27.6" x14ac:dyDescent="0.25">
      <c r="A999" s="3" t="s">
        <v>1004</v>
      </c>
      <c r="B999" s="3" t="s">
        <v>1377</v>
      </c>
      <c r="C999" s="4" t="str">
        <f>HYPERLINK("http://www.rncp.cncp.gouv.fr/grand-public/visualisationFiche?format=fr&amp;fiche=5896","5896")</f>
        <v>5896</v>
      </c>
      <c r="D999" s="4" t="str">
        <f>HYPERLINK("http://www.intercariforef.org/formations/certification-58115.html","58115")</f>
        <v>58115</v>
      </c>
      <c r="E999" s="5">
        <v>4820</v>
      </c>
      <c r="F999" s="5" t="s">
        <v>10</v>
      </c>
      <c r="G999" s="5" t="s">
        <v>11</v>
      </c>
      <c r="H999" s="3" t="s">
        <v>954</v>
      </c>
    </row>
    <row r="1000" spans="1:8" ht="27.6" x14ac:dyDescent="0.25">
      <c r="A1000" s="3" t="s">
        <v>1004</v>
      </c>
      <c r="B1000" s="3" t="s">
        <v>1378</v>
      </c>
      <c r="C1000" s="4" t="str">
        <f>HYPERLINK("http://www.rncp.cncp.gouv.fr/grand-public/visualisationFiche?format=fr&amp;fiche=3695","3695")</f>
        <v>3695</v>
      </c>
      <c r="D1000" s="4" t="str">
        <f>HYPERLINK("http://www.intercariforef.org/formations/certification-54502.html","54502")</f>
        <v>54502</v>
      </c>
      <c r="E1000" s="5">
        <v>4792</v>
      </c>
      <c r="F1000" s="5" t="s">
        <v>10</v>
      </c>
      <c r="G1000" s="5" t="s">
        <v>11</v>
      </c>
      <c r="H1000" s="3" t="s">
        <v>1221</v>
      </c>
    </row>
    <row r="1001" spans="1:8" ht="13.8" x14ac:dyDescent="0.25">
      <c r="A1001" s="3" t="s">
        <v>1004</v>
      </c>
      <c r="B1001" s="3" t="s">
        <v>1379</v>
      </c>
      <c r="C1001" s="4" t="str">
        <f>HYPERLINK("http://www.rncp.cncp.gouv.fr/grand-public/visualisationFiche?format=fr&amp;fiche=12631","12631")</f>
        <v>12631</v>
      </c>
      <c r="D1001" s="4" t="str">
        <f>HYPERLINK("http://www.intercariforef.org/formations/certification-68898.html","68898")</f>
        <v>68898</v>
      </c>
      <c r="E1001" s="5">
        <v>4797</v>
      </c>
      <c r="F1001" s="5" t="s">
        <v>10</v>
      </c>
      <c r="G1001" s="5" t="s">
        <v>11</v>
      </c>
      <c r="H1001" s="3" t="s">
        <v>892</v>
      </c>
    </row>
    <row r="1002" spans="1:8" ht="27.6" x14ac:dyDescent="0.25">
      <c r="A1002" s="3" t="s">
        <v>1004</v>
      </c>
      <c r="B1002" s="3" t="s">
        <v>1380</v>
      </c>
      <c r="C1002" s="4" t="str">
        <f>HYPERLINK("http://www.rncp.cncp.gouv.fr/grand-public/visualisationFiche?format=fr&amp;fiche=17896","17896")</f>
        <v>17896</v>
      </c>
      <c r="D1002" s="4" t="str">
        <f>HYPERLINK("http://www.intercariforef.org/formations/certification-79928.html","79928")</f>
        <v>79928</v>
      </c>
      <c r="E1002" s="5">
        <v>4698</v>
      </c>
      <c r="F1002" s="5" t="s">
        <v>10</v>
      </c>
      <c r="G1002" s="5" t="s">
        <v>11</v>
      </c>
      <c r="H1002" s="3" t="s">
        <v>731</v>
      </c>
    </row>
    <row r="1003" spans="1:8" ht="27.6" x14ac:dyDescent="0.25">
      <c r="A1003" s="3" t="s">
        <v>1004</v>
      </c>
      <c r="B1003" s="3" t="s">
        <v>1381</v>
      </c>
      <c r="C1003" s="4" t="str">
        <f>HYPERLINK("http://www.rncp.cncp.gouv.fr/grand-public/visualisationFiche?format=fr&amp;fiche=12958","12958")</f>
        <v>12958</v>
      </c>
      <c r="D1003" s="4" t="str">
        <f>HYPERLINK("http://www.intercariforef.org/formations/certification-77682.html","77682")</f>
        <v>77682</v>
      </c>
      <c r="E1003" s="5">
        <v>3562</v>
      </c>
      <c r="F1003" s="5" t="s">
        <v>10</v>
      </c>
      <c r="G1003" s="5" t="s">
        <v>11</v>
      </c>
      <c r="H1003" s="3" t="s">
        <v>734</v>
      </c>
    </row>
    <row r="1004" spans="1:8" ht="27.6" x14ac:dyDescent="0.25">
      <c r="A1004" s="3" t="s">
        <v>1004</v>
      </c>
      <c r="B1004" s="3" t="s">
        <v>1382</v>
      </c>
      <c r="C1004" s="4" t="str">
        <f>HYPERLINK("http://www.rncp.cncp.gouv.fr/grand-public/visualisationFiche?format=fr&amp;fiche=15123","15123")</f>
        <v>15123</v>
      </c>
      <c r="D1004" s="4" t="str">
        <f>HYPERLINK("http://www.intercariforef.org/formations/certification-80005.html","80005")</f>
        <v>80005</v>
      </c>
      <c r="E1004" s="5">
        <v>4767</v>
      </c>
      <c r="F1004" s="5" t="s">
        <v>10</v>
      </c>
      <c r="G1004" s="5" t="s">
        <v>11</v>
      </c>
      <c r="H1004" s="3" t="s">
        <v>742</v>
      </c>
    </row>
    <row r="1005" spans="1:8" ht="27.6" x14ac:dyDescent="0.25">
      <c r="A1005" s="3" t="s">
        <v>1004</v>
      </c>
      <c r="B1005" s="3" t="s">
        <v>1383</v>
      </c>
      <c r="C1005" s="4" t="str">
        <f>HYPERLINK("http://www.rncp.cncp.gouv.fr/grand-public/visualisationFiche?format=fr&amp;fiche=19510","19510")</f>
        <v>19510</v>
      </c>
      <c r="D1005" s="4" t="str">
        <f>HYPERLINK("http://www.intercariforef.org/formations/certification-53549.html","53549")</f>
        <v>53549</v>
      </c>
      <c r="E1005" s="5">
        <v>4799</v>
      </c>
      <c r="F1005" s="5" t="s">
        <v>10</v>
      </c>
      <c r="G1005" s="5" t="s">
        <v>11</v>
      </c>
      <c r="H1005" s="3" t="s">
        <v>1209</v>
      </c>
    </row>
    <row r="1006" spans="1:8" ht="13.8" x14ac:dyDescent="0.25">
      <c r="A1006" s="3" t="s">
        <v>1004</v>
      </c>
      <c r="B1006" s="3" t="s">
        <v>1384</v>
      </c>
      <c r="C1006" s="4" t="str">
        <f>HYPERLINK("http://www.rncp.cncp.gouv.fr/grand-public/visualisationFiche?format=fr&amp;fiche=17205","17205")</f>
        <v>17205</v>
      </c>
      <c r="D1006" s="4" t="str">
        <f>HYPERLINK("http://www.intercariforef.org/formations/certification-60509.html","60509")</f>
        <v>60509</v>
      </c>
      <c r="E1006" s="5">
        <v>4875</v>
      </c>
      <c r="F1006" s="5" t="s">
        <v>10</v>
      </c>
      <c r="G1006" s="5" t="s">
        <v>11</v>
      </c>
      <c r="H1006" s="3" t="s">
        <v>785</v>
      </c>
    </row>
    <row r="1007" spans="1:8" ht="13.8" x14ac:dyDescent="0.25">
      <c r="A1007" s="3" t="s">
        <v>1004</v>
      </c>
      <c r="B1007" s="3" t="s">
        <v>1384</v>
      </c>
      <c r="C1007" s="5"/>
      <c r="D1007" s="4" t="str">
        <f>HYPERLINK("http://www.intercariforef.org/formations/certification-82174.html","82174")</f>
        <v>82174</v>
      </c>
      <c r="E1007" s="5">
        <v>144824</v>
      </c>
      <c r="F1007" s="5" t="s">
        <v>10</v>
      </c>
      <c r="G1007" s="5" t="s">
        <v>11</v>
      </c>
      <c r="H1007" s="3" t="s">
        <v>808</v>
      </c>
    </row>
    <row r="1008" spans="1:8" ht="27.6" x14ac:dyDescent="0.25">
      <c r="A1008" s="3" t="s">
        <v>1004</v>
      </c>
      <c r="B1008" s="3" t="s">
        <v>1385</v>
      </c>
      <c r="C1008" s="5"/>
      <c r="D1008" s="4" t="str">
        <f>HYPERLINK("http://www.intercariforef.org/formations/certification-78516.html","78516")</f>
        <v>78516</v>
      </c>
      <c r="E1008" s="5">
        <v>162401</v>
      </c>
      <c r="F1008" s="5" t="s">
        <v>10</v>
      </c>
      <c r="G1008" s="5" t="s">
        <v>11</v>
      </c>
      <c r="H1008" s="3" t="s">
        <v>801</v>
      </c>
    </row>
    <row r="1009" spans="1:8" ht="13.8" x14ac:dyDescent="0.25">
      <c r="A1009" s="3" t="s">
        <v>1004</v>
      </c>
      <c r="B1009" s="3" t="s">
        <v>1386</v>
      </c>
      <c r="C1009" s="4" t="str">
        <f>HYPERLINK("http://www.rncp.cncp.gouv.fr/grand-public/visualisationFiche?format=fr&amp;fiche=5516","5516")</f>
        <v>5516</v>
      </c>
      <c r="D1009" s="4" t="str">
        <f>HYPERLINK("http://www.intercariforef.org/formations/certification-50005.html","50005")</f>
        <v>50005</v>
      </c>
      <c r="E1009" s="5">
        <v>4800</v>
      </c>
      <c r="F1009" s="5" t="s">
        <v>10</v>
      </c>
      <c r="G1009" s="5" t="s">
        <v>11</v>
      </c>
      <c r="H1009" s="3" t="s">
        <v>963</v>
      </c>
    </row>
    <row r="1010" spans="1:8" ht="13.8" x14ac:dyDescent="0.25">
      <c r="A1010" s="3" t="s">
        <v>1004</v>
      </c>
      <c r="B1010" s="3" t="s">
        <v>1387</v>
      </c>
      <c r="C1010" s="4" t="str">
        <f>HYPERLINK("http://www.rncp.cncp.gouv.fr/grand-public/visualisationFiche?format=fr&amp;fiche=16539","16539")</f>
        <v>16539</v>
      </c>
      <c r="D1010" s="4" t="str">
        <f>HYPERLINK("http://www.intercariforef.org/formations/certification-58797.html","58797")</f>
        <v>58797</v>
      </c>
      <c r="E1010" s="5">
        <v>144825</v>
      </c>
      <c r="F1010" s="5" t="s">
        <v>10</v>
      </c>
      <c r="G1010" s="5" t="s">
        <v>11</v>
      </c>
      <c r="H1010" s="3" t="s">
        <v>813</v>
      </c>
    </row>
    <row r="1011" spans="1:8" ht="27.6" x14ac:dyDescent="0.25">
      <c r="A1011" s="3" t="s">
        <v>1004</v>
      </c>
      <c r="B1011" s="3" t="s">
        <v>1388</v>
      </c>
      <c r="C1011" s="4" t="str">
        <f>HYPERLINK("http://www.rncp.cncp.gouv.fr/grand-public/visualisationFiche?format=fr&amp;fiche=13581","13581")</f>
        <v>13581</v>
      </c>
      <c r="D1011" s="4" t="str">
        <f>HYPERLINK("http://www.intercariforef.org/formations/certification-42511.html","42511")</f>
        <v>42511</v>
      </c>
      <c r="E1011" s="5">
        <v>144992</v>
      </c>
      <c r="F1011" s="5" t="s">
        <v>10</v>
      </c>
      <c r="G1011" s="5" t="s">
        <v>11</v>
      </c>
      <c r="H1011" s="3" t="s">
        <v>514</v>
      </c>
    </row>
    <row r="1012" spans="1:8" ht="13.8" x14ac:dyDescent="0.25">
      <c r="A1012" s="3" t="s">
        <v>1004</v>
      </c>
      <c r="B1012" s="3" t="s">
        <v>1389</v>
      </c>
      <c r="C1012" s="4" t="str">
        <f>HYPERLINK("http://www.rncp.cncp.gouv.fr/grand-public/visualisationFiche?format=fr&amp;fiche=17808","17808")</f>
        <v>17808</v>
      </c>
      <c r="D1012" s="4" t="str">
        <f>HYPERLINK("http://www.intercariforef.org/formations/certification-42796.html","42796")</f>
        <v>42796</v>
      </c>
      <c r="E1012" s="5">
        <v>144994</v>
      </c>
      <c r="F1012" s="5" t="s">
        <v>10</v>
      </c>
      <c r="G1012" s="5" t="s">
        <v>11</v>
      </c>
      <c r="H1012" s="3" t="s">
        <v>731</v>
      </c>
    </row>
    <row r="1013" spans="1:8" ht="27.6" x14ac:dyDescent="0.25">
      <c r="A1013" s="3" t="s">
        <v>1004</v>
      </c>
      <c r="B1013" s="3" t="s">
        <v>1390</v>
      </c>
      <c r="C1013" s="4" t="str">
        <f>HYPERLINK("http://www.rncp.cncp.gouv.fr/grand-public/visualisationFiche?format=fr&amp;fiche=3326","3326")</f>
        <v>3326</v>
      </c>
      <c r="D1013" s="4" t="str">
        <f>HYPERLINK("http://www.intercariforef.org/formations/certification-42513.html","42513")</f>
        <v>42513</v>
      </c>
      <c r="E1013" s="5">
        <v>4758</v>
      </c>
      <c r="F1013" s="5" t="s">
        <v>10</v>
      </c>
      <c r="G1013" s="5" t="s">
        <v>11</v>
      </c>
      <c r="H1013" s="3" t="s">
        <v>1391</v>
      </c>
    </row>
    <row r="1014" spans="1:8" ht="27.6" x14ac:dyDescent="0.25">
      <c r="A1014" s="3" t="s">
        <v>1004</v>
      </c>
      <c r="B1014" s="3" t="s">
        <v>1392</v>
      </c>
      <c r="C1014" s="4" t="str">
        <f>HYPERLINK("http://www.rncp.cncp.gouv.fr/grand-public/visualisationFiche?format=fr&amp;fiche=18189","18189")</f>
        <v>18189</v>
      </c>
      <c r="D1014" s="4" t="str">
        <f>HYPERLINK("http://www.intercariforef.org/formations/certification-63460.html","63460")</f>
        <v>63460</v>
      </c>
      <c r="E1014" s="5">
        <v>4768</v>
      </c>
      <c r="F1014" s="5" t="s">
        <v>10</v>
      </c>
      <c r="G1014" s="5" t="s">
        <v>11</v>
      </c>
      <c r="H1014" s="3" t="s">
        <v>731</v>
      </c>
    </row>
    <row r="1015" spans="1:8" ht="27.6" x14ac:dyDescent="0.25">
      <c r="A1015" s="3" t="s">
        <v>1004</v>
      </c>
      <c r="B1015" s="3" t="s">
        <v>1393</v>
      </c>
      <c r="C1015" s="4" t="str">
        <f>HYPERLINK("http://www.rncp.cncp.gouv.fr/grand-public/visualisationFiche?format=fr&amp;fiche=3160","3160")</f>
        <v>3160</v>
      </c>
      <c r="D1015" s="4" t="str">
        <f>HYPERLINK("http://www.intercariforef.org/formations/certification-59227.html","59227")</f>
        <v>59227</v>
      </c>
      <c r="E1015" s="5">
        <v>4759</v>
      </c>
      <c r="F1015" s="5" t="s">
        <v>10</v>
      </c>
      <c r="G1015" s="5" t="s">
        <v>11</v>
      </c>
      <c r="H1015" s="3" t="s">
        <v>750</v>
      </c>
    </row>
    <row r="1016" spans="1:8" ht="27.6" x14ac:dyDescent="0.25">
      <c r="A1016" s="3" t="s">
        <v>1004</v>
      </c>
      <c r="B1016" s="3" t="s">
        <v>1393</v>
      </c>
      <c r="C1016" s="4" t="str">
        <f>HYPERLINK("http://www.rncp.cncp.gouv.fr/grand-public/visualisationFiche?format=fr&amp;fiche=5245","5245")</f>
        <v>5245</v>
      </c>
      <c r="D1016" s="4" t="str">
        <f>HYPERLINK("http://www.intercariforef.org/formations/certification-54914.html","54914")</f>
        <v>54914</v>
      </c>
      <c r="E1016" s="5">
        <v>4810</v>
      </c>
      <c r="F1016" s="5" t="s">
        <v>10</v>
      </c>
      <c r="G1016" s="5" t="s">
        <v>11</v>
      </c>
      <c r="H1016" s="3" t="s">
        <v>779</v>
      </c>
    </row>
    <row r="1017" spans="1:8" ht="13.8" x14ac:dyDescent="0.25">
      <c r="A1017" s="3" t="s">
        <v>1004</v>
      </c>
      <c r="B1017" s="3" t="s">
        <v>1394</v>
      </c>
      <c r="C1017" s="4" t="str">
        <f>HYPERLINK("http://www.rncp.cncp.gouv.fr/grand-public/visualisationFiche?format=fr&amp;fiche=14939","14939")</f>
        <v>14939</v>
      </c>
      <c r="D1017" s="4" t="str">
        <f>HYPERLINK("http://www.intercariforef.org/formations/certification-80003.html","80003")</f>
        <v>80003</v>
      </c>
      <c r="E1017" s="5">
        <v>4818</v>
      </c>
      <c r="F1017" s="5" t="s">
        <v>10</v>
      </c>
      <c r="G1017" s="5" t="s">
        <v>11</v>
      </c>
      <c r="H1017" s="3" t="s">
        <v>771</v>
      </c>
    </row>
    <row r="1018" spans="1:8" ht="13.8" x14ac:dyDescent="0.25">
      <c r="A1018" s="3" t="s">
        <v>1004</v>
      </c>
      <c r="B1018" s="3" t="s">
        <v>1395</v>
      </c>
      <c r="C1018" s="4" t="str">
        <f>HYPERLINK("http://www.rncp.cncp.gouv.fr/grand-public/visualisationFiche?format=fr&amp;fiche=3248","3248")</f>
        <v>3248</v>
      </c>
      <c r="D1018" s="4" t="str">
        <f>HYPERLINK("http://www.intercariforef.org/formations/certification-42515.html","42515")</f>
        <v>42515</v>
      </c>
      <c r="E1018" s="5">
        <v>4762</v>
      </c>
      <c r="F1018" s="5" t="s">
        <v>10</v>
      </c>
      <c r="G1018" s="5" t="s">
        <v>11</v>
      </c>
      <c r="H1018" s="3" t="s">
        <v>850</v>
      </c>
    </row>
    <row r="1019" spans="1:8" ht="27.6" x14ac:dyDescent="0.25">
      <c r="A1019" s="3" t="s">
        <v>1004</v>
      </c>
      <c r="B1019" s="3" t="s">
        <v>1396</v>
      </c>
      <c r="C1019" s="4" t="str">
        <f>HYPERLINK("http://www.rncp.cncp.gouv.fr/grand-public/visualisationFiche?format=fr&amp;fiche=18639","18639")</f>
        <v>18639</v>
      </c>
      <c r="D1019" s="4" t="str">
        <f>HYPERLINK("http://www.intercariforef.org/formations/certification-63539.html","63539")</f>
        <v>63539</v>
      </c>
      <c r="E1019" s="5">
        <v>4819</v>
      </c>
      <c r="F1019" s="5" t="s">
        <v>10</v>
      </c>
      <c r="G1019" s="5" t="s">
        <v>11</v>
      </c>
      <c r="H1019" s="3" t="s">
        <v>731</v>
      </c>
    </row>
    <row r="1020" spans="1:8" ht="27.6" x14ac:dyDescent="0.25">
      <c r="A1020" s="3" t="s">
        <v>1004</v>
      </c>
      <c r="B1020" s="3" t="s">
        <v>1397</v>
      </c>
      <c r="C1020" s="4" t="str">
        <f>HYPERLINK("http://www.rncp.cncp.gouv.fr/grand-public/visualisationFiche?format=fr&amp;fiche=14320","14320")</f>
        <v>14320</v>
      </c>
      <c r="D1020" s="4" t="str">
        <f>HYPERLINK("http://www.intercariforef.org/formations/certification-76303.html","76303")</f>
        <v>76303</v>
      </c>
      <c r="E1020" s="5">
        <v>6386</v>
      </c>
      <c r="F1020" s="5" t="s">
        <v>10</v>
      </c>
      <c r="G1020" s="5" t="s">
        <v>11</v>
      </c>
      <c r="H1020" s="3" t="s">
        <v>954</v>
      </c>
    </row>
    <row r="1021" spans="1:8" ht="27.6" x14ac:dyDescent="0.25">
      <c r="A1021" s="3" t="s">
        <v>1004</v>
      </c>
      <c r="B1021" s="3" t="s">
        <v>1398</v>
      </c>
      <c r="C1021" s="4" t="str">
        <f>HYPERLINK("http://www.rncp.cncp.gouv.fr/grand-public/visualisationFiche?format=fr&amp;fiche=5344","5344")</f>
        <v>5344</v>
      </c>
      <c r="D1021" s="4" t="str">
        <f>HYPERLINK("http://www.intercariforef.org/formations/certification-55069.html","55069")</f>
        <v>55069</v>
      </c>
      <c r="E1021" s="5">
        <v>5610</v>
      </c>
      <c r="F1021" s="5" t="s">
        <v>10</v>
      </c>
      <c r="G1021" s="5" t="s">
        <v>11</v>
      </c>
      <c r="H1021" s="3" t="s">
        <v>899</v>
      </c>
    </row>
    <row r="1022" spans="1:8" ht="27.6" x14ac:dyDescent="0.25">
      <c r="A1022" s="3" t="s">
        <v>1004</v>
      </c>
      <c r="B1022" s="3" t="s">
        <v>1399</v>
      </c>
      <c r="C1022" s="4" t="str">
        <f>HYPERLINK("http://www.rncp.cncp.gouv.fr/grand-public/visualisationFiche?format=fr&amp;fiche=3409","3409")</f>
        <v>3409</v>
      </c>
      <c r="D1022" s="4" t="str">
        <f>HYPERLINK("http://www.intercariforef.org/formations/certification-16829.html","16829")</f>
        <v>16829</v>
      </c>
      <c r="E1022" s="5">
        <v>4766</v>
      </c>
      <c r="F1022" s="5" t="s">
        <v>10</v>
      </c>
      <c r="G1022" s="5" t="s">
        <v>11</v>
      </c>
      <c r="H1022" s="3" t="s">
        <v>779</v>
      </c>
    </row>
    <row r="1023" spans="1:8" ht="27.6" x14ac:dyDescent="0.25">
      <c r="A1023" s="3" t="s">
        <v>1004</v>
      </c>
      <c r="B1023" s="3" t="s">
        <v>1399</v>
      </c>
      <c r="C1023" s="4" t="str">
        <f>HYPERLINK("http://www.rncp.cncp.gouv.fr/grand-public/visualisationFiche?format=fr&amp;fiche=21718","21718")</f>
        <v>21718</v>
      </c>
      <c r="D1023" s="4" t="str">
        <f>HYPERLINK("http://www.intercariforef.org/formations/certification-64979.html","64979")</f>
        <v>64979</v>
      </c>
      <c r="E1023" s="5">
        <v>162390</v>
      </c>
      <c r="F1023" s="5" t="s">
        <v>10</v>
      </c>
      <c r="G1023" s="5" t="s">
        <v>11</v>
      </c>
      <c r="H1023" s="3" t="s">
        <v>750</v>
      </c>
    </row>
    <row r="1024" spans="1:8" ht="27.6" x14ac:dyDescent="0.25">
      <c r="A1024" s="3" t="s">
        <v>1004</v>
      </c>
      <c r="B1024" s="3" t="s">
        <v>1399</v>
      </c>
      <c r="C1024" s="4" t="str">
        <f>HYPERLINK("http://www.rncp.cncp.gouv.fr/grand-public/visualisationFiche?format=fr&amp;fiche=5282","5282")</f>
        <v>5282</v>
      </c>
      <c r="D1024" s="4" t="str">
        <f>HYPERLINK("http://www.intercariforef.org/formations/certification-52515.html","52515")</f>
        <v>52515</v>
      </c>
      <c r="E1024" s="5">
        <v>162397</v>
      </c>
      <c r="F1024" s="5" t="s">
        <v>10</v>
      </c>
      <c r="G1024" s="5" t="s">
        <v>11</v>
      </c>
      <c r="H1024" s="3" t="s">
        <v>908</v>
      </c>
    </row>
    <row r="1025" spans="1:8" ht="27.6" x14ac:dyDescent="0.25">
      <c r="A1025" s="3" t="s">
        <v>1004</v>
      </c>
      <c r="B1025" s="3" t="s">
        <v>1399</v>
      </c>
      <c r="C1025" s="4" t="str">
        <f>HYPERLINK("http://www.rncp.cncp.gouv.fr/grand-public/visualisationFiche?format=fr&amp;fiche=19620","19620")</f>
        <v>19620</v>
      </c>
      <c r="D1025" s="4" t="str">
        <f>HYPERLINK("http://www.intercariforef.org/formations/certification-77865.html","77865")</f>
        <v>77865</v>
      </c>
      <c r="E1025" s="5">
        <v>162398</v>
      </c>
      <c r="F1025" s="5" t="s">
        <v>10</v>
      </c>
      <c r="G1025" s="5" t="s">
        <v>11</v>
      </c>
      <c r="H1025" s="3" t="s">
        <v>774</v>
      </c>
    </row>
    <row r="1026" spans="1:8" ht="27.6" x14ac:dyDescent="0.25">
      <c r="A1026" s="3" t="s">
        <v>1004</v>
      </c>
      <c r="B1026" s="3" t="s">
        <v>1400</v>
      </c>
      <c r="C1026" s="4" t="str">
        <f>HYPERLINK("http://www.rncp.cncp.gouv.fr/grand-public/visualisationFiche?format=fr&amp;fiche=15585","15585")</f>
        <v>15585</v>
      </c>
      <c r="D1026" s="4" t="str">
        <f>HYPERLINK("http://www.intercariforef.org/formations/certification-80091.html","80091")</f>
        <v>80091</v>
      </c>
      <c r="E1026" s="5">
        <v>4772</v>
      </c>
      <c r="F1026" s="5" t="s">
        <v>10</v>
      </c>
      <c r="G1026" s="5" t="s">
        <v>11</v>
      </c>
      <c r="H1026" s="3" t="s">
        <v>763</v>
      </c>
    </row>
    <row r="1027" spans="1:8" ht="27.6" x14ac:dyDescent="0.25">
      <c r="A1027" s="3" t="s">
        <v>1004</v>
      </c>
      <c r="B1027" s="3" t="s">
        <v>1401</v>
      </c>
      <c r="C1027" s="4" t="str">
        <f>HYPERLINK("http://www.rncp.cncp.gouv.fr/grand-public/visualisationFiche?format=fr&amp;fiche=3686","3686")</f>
        <v>3686</v>
      </c>
      <c r="D1027" s="4" t="str">
        <f>HYPERLINK("http://www.intercariforef.org/formations/certification-58707.html","58707")</f>
        <v>58707</v>
      </c>
      <c r="E1027" s="5">
        <v>4783</v>
      </c>
      <c r="F1027" s="5" t="s">
        <v>10</v>
      </c>
      <c r="G1027" s="5" t="s">
        <v>11</v>
      </c>
      <c r="H1027" s="3" t="s">
        <v>905</v>
      </c>
    </row>
    <row r="1028" spans="1:8" ht="27.6" x14ac:dyDescent="0.25">
      <c r="A1028" s="3" t="s">
        <v>1004</v>
      </c>
      <c r="B1028" s="3" t="s">
        <v>1402</v>
      </c>
      <c r="C1028" s="4" t="str">
        <f>HYPERLINK("http://www.rncp.cncp.gouv.fr/grand-public/visualisationFiche?format=fr&amp;fiche=4429","4429")</f>
        <v>4429</v>
      </c>
      <c r="D1028" s="4" t="str">
        <f>HYPERLINK("http://www.intercariforef.org/formations/certification-58102.html","58102")</f>
        <v>58102</v>
      </c>
      <c r="E1028" s="5">
        <v>4821</v>
      </c>
      <c r="F1028" s="5" t="s">
        <v>10</v>
      </c>
      <c r="G1028" s="5" t="s">
        <v>11</v>
      </c>
      <c r="H1028" s="3" t="s">
        <v>954</v>
      </c>
    </row>
    <row r="1029" spans="1:8" ht="27.6" x14ac:dyDescent="0.25">
      <c r="A1029" s="3" t="s">
        <v>1004</v>
      </c>
      <c r="B1029" s="3" t="s">
        <v>1403</v>
      </c>
      <c r="C1029" s="4" t="str">
        <f>HYPERLINK("http://www.rncp.cncp.gouv.fr/grand-public/visualisationFiche?format=fr&amp;fiche=4428","4428")</f>
        <v>4428</v>
      </c>
      <c r="D1029" s="4" t="str">
        <f>HYPERLINK("http://www.intercariforef.org/formations/certification-58116.html","58116")</f>
        <v>58116</v>
      </c>
      <c r="E1029" s="5">
        <v>17035</v>
      </c>
      <c r="F1029" s="5" t="s">
        <v>10</v>
      </c>
      <c r="G1029" s="5" t="s">
        <v>11</v>
      </c>
      <c r="H1029" s="3" t="s">
        <v>954</v>
      </c>
    </row>
    <row r="1030" spans="1:8" ht="13.8" x14ac:dyDescent="0.25">
      <c r="A1030" s="3" t="s">
        <v>1004</v>
      </c>
      <c r="B1030" s="3" t="s">
        <v>1404</v>
      </c>
      <c r="C1030" s="4" t="str">
        <f>HYPERLINK("http://www.rncp.cncp.gouv.fr/grand-public/visualisationFiche?format=fr&amp;fiche=3671","3671")</f>
        <v>3671</v>
      </c>
      <c r="D1030" s="4" t="str">
        <f>HYPERLINK("http://www.intercariforef.org/formations/certification-42519.html","42519")</f>
        <v>42519</v>
      </c>
      <c r="E1030" s="5">
        <v>4831</v>
      </c>
      <c r="F1030" s="5" t="s">
        <v>10</v>
      </c>
      <c r="G1030" s="5" t="s">
        <v>11</v>
      </c>
      <c r="H1030" s="3" t="s">
        <v>899</v>
      </c>
    </row>
    <row r="1031" spans="1:8" ht="27.6" x14ac:dyDescent="0.25">
      <c r="A1031" s="3" t="s">
        <v>1004</v>
      </c>
      <c r="B1031" s="3" t="s">
        <v>1405</v>
      </c>
      <c r="C1031" s="4" t="str">
        <f>HYPERLINK("http://www.rncp.cncp.gouv.fr/grand-public/visualisationFiche?format=fr&amp;fiche=5857","5857")</f>
        <v>5857</v>
      </c>
      <c r="D1031" s="4" t="str">
        <f>HYPERLINK("http://www.intercariforef.org/formations/certification-53550.html","53550")</f>
        <v>53550</v>
      </c>
      <c r="E1031" s="5">
        <v>4844</v>
      </c>
      <c r="F1031" s="5" t="s">
        <v>10</v>
      </c>
      <c r="G1031" s="5" t="s">
        <v>11</v>
      </c>
      <c r="H1031" s="3" t="s">
        <v>788</v>
      </c>
    </row>
    <row r="1032" spans="1:8" ht="27.6" x14ac:dyDescent="0.25">
      <c r="A1032" s="3" t="s">
        <v>1004</v>
      </c>
      <c r="B1032" s="3" t="s">
        <v>1406</v>
      </c>
      <c r="C1032" s="4" t="str">
        <f>HYPERLINK("http://www.rncp.cncp.gouv.fr/grand-public/visualisationFiche?format=fr&amp;fiche=10977","10977")</f>
        <v>10977</v>
      </c>
      <c r="D1032" s="4" t="str">
        <f>HYPERLINK("http://www.intercariforef.org/formations/certification-42509.html","42509")</f>
        <v>42509</v>
      </c>
      <c r="E1032" s="5">
        <v>4743</v>
      </c>
      <c r="F1032" s="5" t="s">
        <v>10</v>
      </c>
      <c r="G1032" s="5" t="s">
        <v>11</v>
      </c>
      <c r="H1032" s="3" t="s">
        <v>733</v>
      </c>
    </row>
    <row r="1033" spans="1:8" ht="27.6" x14ac:dyDescent="0.25">
      <c r="A1033" s="3" t="s">
        <v>1004</v>
      </c>
      <c r="B1033" s="3" t="s">
        <v>1407</v>
      </c>
      <c r="C1033" s="4" t="str">
        <f>HYPERLINK("http://www.rncp.cncp.gouv.fr/grand-public/visualisationFiche?format=fr&amp;fiche=5923","5923")</f>
        <v>5923</v>
      </c>
      <c r="D1033" s="4" t="str">
        <f>HYPERLINK("http://www.intercariforef.org/formations/certification-80094.html","80094")</f>
        <v>80094</v>
      </c>
      <c r="E1033" s="5">
        <v>145065</v>
      </c>
      <c r="F1033" s="5" t="s">
        <v>10</v>
      </c>
      <c r="G1033" s="5" t="s">
        <v>11</v>
      </c>
      <c r="H1033" s="3" t="s">
        <v>779</v>
      </c>
    </row>
    <row r="1034" spans="1:8" ht="27.6" x14ac:dyDescent="0.25">
      <c r="A1034" s="3" t="s">
        <v>1004</v>
      </c>
      <c r="B1034" s="3" t="s">
        <v>1408</v>
      </c>
      <c r="C1034" s="4" t="str">
        <f>HYPERLINK("http://www.rncp.cncp.gouv.fr/grand-public/visualisationFiche?format=fr&amp;fiche=17408","17408")</f>
        <v>17408</v>
      </c>
      <c r="D1034" s="4" t="str">
        <f>HYPERLINK("http://www.intercariforef.org/formations/certification-64245.html","64245")</f>
        <v>64245</v>
      </c>
      <c r="E1034" s="5">
        <v>4884</v>
      </c>
      <c r="F1034" s="5" t="s">
        <v>10</v>
      </c>
      <c r="G1034" s="5" t="s">
        <v>11</v>
      </c>
      <c r="H1034" s="3" t="s">
        <v>785</v>
      </c>
    </row>
    <row r="1035" spans="1:8" ht="13.8" x14ac:dyDescent="0.25">
      <c r="A1035" s="3" t="s">
        <v>1004</v>
      </c>
      <c r="B1035" s="3" t="s">
        <v>1409</v>
      </c>
      <c r="C1035" s="5"/>
      <c r="D1035" s="4" t="str">
        <f>HYPERLINK("http://www.intercariforef.org/formations/certification-71452.html","71452")</f>
        <v>71452</v>
      </c>
      <c r="E1035" s="5">
        <v>17142</v>
      </c>
      <c r="F1035" s="5" t="s">
        <v>10</v>
      </c>
      <c r="G1035" s="5" t="s">
        <v>11</v>
      </c>
      <c r="H1035" s="3" t="s">
        <v>808</v>
      </c>
    </row>
    <row r="1036" spans="1:8" ht="13.8" x14ac:dyDescent="0.25">
      <c r="A1036" s="3" t="s">
        <v>1004</v>
      </c>
      <c r="B1036" s="3" t="s">
        <v>1410</v>
      </c>
      <c r="C1036" s="4" t="str">
        <f>HYPERLINK("http://www.rncp.cncp.gouv.fr/grand-public/visualisationFiche?format=fr&amp;fiche=3176","3176")</f>
        <v>3176</v>
      </c>
      <c r="D1036" s="4" t="str">
        <f>HYPERLINK("http://www.intercariforef.org/formations/certification-16496.html","16496")</f>
        <v>16496</v>
      </c>
      <c r="E1036" s="5">
        <v>4983</v>
      </c>
      <c r="F1036" s="5" t="s">
        <v>10</v>
      </c>
      <c r="G1036" s="5" t="s">
        <v>11</v>
      </c>
      <c r="H1036" s="3" t="s">
        <v>899</v>
      </c>
    </row>
    <row r="1037" spans="1:8" ht="13.8" x14ac:dyDescent="0.25">
      <c r="A1037" s="3" t="s">
        <v>1004</v>
      </c>
      <c r="B1037" s="3" t="s">
        <v>1411</v>
      </c>
      <c r="C1037" s="5"/>
      <c r="D1037" s="4" t="str">
        <f>HYPERLINK("http://www.intercariforef.org/formations/certification-58117.html","58117")</f>
        <v>58117</v>
      </c>
      <c r="E1037" s="5">
        <v>4984</v>
      </c>
      <c r="F1037" s="5" t="s">
        <v>10</v>
      </c>
      <c r="G1037" s="5" t="s">
        <v>11</v>
      </c>
      <c r="H1037" s="3" t="s">
        <v>954</v>
      </c>
    </row>
    <row r="1038" spans="1:8" ht="13.8" x14ac:dyDescent="0.25">
      <c r="A1038" s="3" t="s">
        <v>1004</v>
      </c>
      <c r="B1038" s="3" t="s">
        <v>1412</v>
      </c>
      <c r="C1038" s="4" t="str">
        <f>HYPERLINK("http://www.rncp.cncp.gouv.fr/grand-public/visualisationFiche?format=fr&amp;fiche=12096","12096")</f>
        <v>12096</v>
      </c>
      <c r="D1038" s="4" t="str">
        <f>HYPERLINK("http://www.intercariforef.org/formations/certification-42523.html","42523")</f>
        <v>42523</v>
      </c>
      <c r="E1038" s="5">
        <v>4915</v>
      </c>
      <c r="F1038" s="5" t="s">
        <v>10</v>
      </c>
      <c r="G1038" s="5" t="s">
        <v>11</v>
      </c>
      <c r="H1038" s="3" t="s">
        <v>758</v>
      </c>
    </row>
    <row r="1039" spans="1:8" ht="27.6" x14ac:dyDescent="0.25">
      <c r="A1039" s="3" t="s">
        <v>1004</v>
      </c>
      <c r="B1039" s="3" t="s">
        <v>1413</v>
      </c>
      <c r="C1039" s="4" t="str">
        <f>HYPERLINK("http://www.rncp.cncp.gouv.fr/grand-public/visualisationFiche?format=fr&amp;fiche=3693","3693")</f>
        <v>3693</v>
      </c>
      <c r="D1039" s="4" t="str">
        <f>HYPERLINK("http://www.intercariforef.org/formations/certification-54726.html","54726")</f>
        <v>54726</v>
      </c>
      <c r="E1039" s="5">
        <v>4985</v>
      </c>
      <c r="F1039" s="5" t="s">
        <v>10</v>
      </c>
      <c r="G1039" s="5" t="s">
        <v>11</v>
      </c>
      <c r="H1039" s="3" t="s">
        <v>1221</v>
      </c>
    </row>
    <row r="1040" spans="1:8" ht="13.8" x14ac:dyDescent="0.25">
      <c r="A1040" s="3" t="s">
        <v>1004</v>
      </c>
      <c r="B1040" s="3" t="s">
        <v>1414</v>
      </c>
      <c r="C1040" s="4" t="str">
        <f>HYPERLINK("http://www.rncp.cncp.gouv.fr/grand-public/visualisationFiche?format=fr&amp;fiche=11666","11666")</f>
        <v>11666</v>
      </c>
      <c r="D1040" s="4" t="str">
        <f>HYPERLINK("http://www.intercariforef.org/formations/certification-16860.html","16860")</f>
        <v>16860</v>
      </c>
      <c r="E1040" s="5">
        <v>3558</v>
      </c>
      <c r="F1040" s="5" t="s">
        <v>10</v>
      </c>
      <c r="G1040" s="5" t="s">
        <v>11</v>
      </c>
      <c r="H1040" s="3" t="s">
        <v>737</v>
      </c>
    </row>
    <row r="1041" spans="1:8" ht="27.6" x14ac:dyDescent="0.25">
      <c r="A1041" s="3" t="s">
        <v>1004</v>
      </c>
      <c r="B1041" s="3" t="s">
        <v>1415</v>
      </c>
      <c r="C1041" s="4" t="str">
        <f>HYPERLINK("http://www.rncp.cncp.gouv.fr/grand-public/visualisationFiche?format=fr&amp;fiche=5838","5838")</f>
        <v>5838</v>
      </c>
      <c r="D1041" s="4" t="str">
        <f>HYPERLINK("http://www.intercariforef.org/formations/certification-42735.html","42735")</f>
        <v>42735</v>
      </c>
      <c r="E1041" s="5">
        <v>4997</v>
      </c>
      <c r="F1041" s="5" t="s">
        <v>10</v>
      </c>
      <c r="G1041" s="5" t="s">
        <v>11</v>
      </c>
      <c r="H1041" s="3" t="s">
        <v>1364</v>
      </c>
    </row>
    <row r="1042" spans="1:8" ht="13.8" x14ac:dyDescent="0.25">
      <c r="A1042" s="3" t="s">
        <v>1004</v>
      </c>
      <c r="B1042" s="3" t="s">
        <v>1416</v>
      </c>
      <c r="C1042" s="4" t="str">
        <f>HYPERLINK("http://www.rncp.cncp.gouv.fr/grand-public/visualisationFiche?format=fr&amp;fiche=11664","11664")</f>
        <v>11664</v>
      </c>
      <c r="D1042" s="4" t="str">
        <f>HYPERLINK("http://www.intercariforef.org/formations/certification-16863.html","16863")</f>
        <v>16863</v>
      </c>
      <c r="E1042" s="5">
        <v>4892</v>
      </c>
      <c r="F1042" s="5" t="s">
        <v>10</v>
      </c>
      <c r="G1042" s="5" t="s">
        <v>11</v>
      </c>
      <c r="H1042" s="3" t="s">
        <v>737</v>
      </c>
    </row>
    <row r="1043" spans="1:8" ht="13.8" x14ac:dyDescent="0.25">
      <c r="A1043" s="3" t="s">
        <v>1004</v>
      </c>
      <c r="B1043" s="3" t="s">
        <v>1417</v>
      </c>
      <c r="C1043" s="4" t="str">
        <f>HYPERLINK("http://www.rncp.cncp.gouv.fr/grand-public/visualisationFiche?format=fr&amp;fiche=3329","3329")</f>
        <v>3329</v>
      </c>
      <c r="D1043" s="4" t="str">
        <f>HYPERLINK("http://www.intercariforef.org/formations/certification-16864.html","16864")</f>
        <v>16864</v>
      </c>
      <c r="E1043" s="5">
        <v>4979</v>
      </c>
      <c r="F1043" s="5" t="s">
        <v>10</v>
      </c>
      <c r="G1043" s="5" t="s">
        <v>11</v>
      </c>
      <c r="H1043" s="3" t="s">
        <v>1205</v>
      </c>
    </row>
    <row r="1044" spans="1:8" ht="13.8" x14ac:dyDescent="0.25">
      <c r="A1044" s="3" t="s">
        <v>1004</v>
      </c>
      <c r="B1044" s="3" t="s">
        <v>1418</v>
      </c>
      <c r="C1044" s="4" t="str">
        <f>HYPERLINK("http://www.rncp.cncp.gouv.fr/grand-public/visualisationFiche?format=fr&amp;fiche=7519","7519")</f>
        <v>7519</v>
      </c>
      <c r="D1044" s="4" t="str">
        <f>HYPERLINK("http://www.intercariforef.org/formations/certification-63580.html","63580")</f>
        <v>63580</v>
      </c>
      <c r="E1044" s="5">
        <v>4991</v>
      </c>
      <c r="F1044" s="5" t="s">
        <v>10</v>
      </c>
      <c r="G1044" s="5" t="s">
        <v>11</v>
      </c>
      <c r="H1044" s="3" t="s">
        <v>771</v>
      </c>
    </row>
    <row r="1045" spans="1:8" ht="27.6" x14ac:dyDescent="0.25">
      <c r="A1045" s="3" t="s">
        <v>1004</v>
      </c>
      <c r="B1045" s="3" t="s">
        <v>1419</v>
      </c>
      <c r="C1045" s="4" t="str">
        <f>HYPERLINK("http://www.rncp.cncp.gouv.fr/grand-public/visualisationFiche?format=fr&amp;fiche=3189","3189")</f>
        <v>3189</v>
      </c>
      <c r="D1045" s="4" t="str">
        <f>HYPERLINK("http://www.intercariforef.org/formations/certification-42522.html","42522")</f>
        <v>42522</v>
      </c>
      <c r="E1045" s="5">
        <v>4992</v>
      </c>
      <c r="F1045" s="5" t="s">
        <v>10</v>
      </c>
      <c r="G1045" s="5" t="s">
        <v>11</v>
      </c>
      <c r="H1045" s="3" t="s">
        <v>1420</v>
      </c>
    </row>
    <row r="1046" spans="1:8" ht="27.6" x14ac:dyDescent="0.25">
      <c r="A1046" s="3" t="s">
        <v>1004</v>
      </c>
      <c r="B1046" s="3" t="s">
        <v>1421</v>
      </c>
      <c r="C1046" s="4" t="str">
        <f>HYPERLINK("http://www.rncp.cncp.gouv.fr/grand-public/visualisationFiche?format=fr&amp;fiche=12857","12857")</f>
        <v>12857</v>
      </c>
      <c r="D1046" s="4" t="str">
        <f>HYPERLINK("http://www.intercariforef.org/formations/certification-71478.html","71478")</f>
        <v>71478</v>
      </c>
      <c r="E1046" s="5">
        <v>4993</v>
      </c>
      <c r="F1046" s="5" t="s">
        <v>10</v>
      </c>
      <c r="G1046" s="5" t="s">
        <v>11</v>
      </c>
      <c r="H1046" s="3" t="s">
        <v>908</v>
      </c>
    </row>
    <row r="1047" spans="1:8" ht="27.6" x14ac:dyDescent="0.25">
      <c r="A1047" s="3" t="s">
        <v>1004</v>
      </c>
      <c r="B1047" s="3" t="s">
        <v>1422</v>
      </c>
      <c r="C1047" s="4" t="str">
        <f>HYPERLINK("http://www.rncp.cncp.gouv.fr/grand-public/visualisationFiche?format=fr&amp;fiche=3514","3514")</f>
        <v>3514</v>
      </c>
      <c r="D1047" s="4" t="str">
        <f>HYPERLINK("http://www.intercariforef.org/formations/certification-16868.html","16868")</f>
        <v>16868</v>
      </c>
      <c r="E1047" s="5">
        <v>4994</v>
      </c>
      <c r="F1047" s="5" t="s">
        <v>10</v>
      </c>
      <c r="G1047" s="5" t="s">
        <v>11</v>
      </c>
      <c r="H1047" s="3" t="s">
        <v>788</v>
      </c>
    </row>
    <row r="1048" spans="1:8" ht="13.8" x14ac:dyDescent="0.25">
      <c r="A1048" s="3" t="s">
        <v>1004</v>
      </c>
      <c r="B1048" s="3" t="s">
        <v>1423</v>
      </c>
      <c r="C1048" s="4" t="str">
        <f>HYPERLINK("http://www.rncp.cncp.gouv.fr/grand-public/visualisationFiche?format=fr&amp;fiche=3177","3177")</f>
        <v>3177</v>
      </c>
      <c r="D1048" s="4" t="str">
        <f>HYPERLINK("http://www.intercariforef.org/formations/certification-55107.html","55107")</f>
        <v>55107</v>
      </c>
      <c r="E1048" s="5">
        <v>4995</v>
      </c>
      <c r="F1048" s="5" t="s">
        <v>10</v>
      </c>
      <c r="G1048" s="5" t="s">
        <v>11</v>
      </c>
      <c r="H1048" s="3" t="s">
        <v>899</v>
      </c>
    </row>
    <row r="1049" spans="1:8" ht="13.8" x14ac:dyDescent="0.25">
      <c r="A1049" s="3" t="s">
        <v>1004</v>
      </c>
      <c r="B1049" s="3" t="s">
        <v>1424</v>
      </c>
      <c r="C1049" s="4" t="str">
        <f>HYPERLINK("http://www.rncp.cncp.gouv.fr/grand-public/visualisationFiche?format=fr&amp;fiche=14754","14754")</f>
        <v>14754</v>
      </c>
      <c r="D1049" s="4" t="str">
        <f>HYPERLINK("http://www.intercariforef.org/formations/certification-78959.html","78959")</f>
        <v>78959</v>
      </c>
      <c r="E1049" s="5">
        <v>4996</v>
      </c>
      <c r="F1049" s="5" t="s">
        <v>10</v>
      </c>
      <c r="G1049" s="5" t="s">
        <v>11</v>
      </c>
      <c r="H1049" s="3" t="s">
        <v>34</v>
      </c>
    </row>
    <row r="1050" spans="1:8" ht="13.8" x14ac:dyDescent="0.25">
      <c r="A1050" s="3" t="s">
        <v>1004</v>
      </c>
      <c r="B1050" s="3" t="s">
        <v>1425</v>
      </c>
      <c r="C1050" s="4" t="str">
        <f>HYPERLINK("http://www.rncp.cncp.gouv.fr/grand-public/visualisationFiche?format=fr&amp;fiche=15098","15098")</f>
        <v>15098</v>
      </c>
      <c r="D1050" s="4" t="str">
        <f>HYPERLINK("http://www.intercariforef.org/formations/certification-78958.html","78958")</f>
        <v>78958</v>
      </c>
      <c r="E1050" s="5">
        <v>5002</v>
      </c>
      <c r="F1050" s="5" t="s">
        <v>10</v>
      </c>
      <c r="G1050" s="5" t="s">
        <v>11</v>
      </c>
      <c r="H1050" s="3" t="s">
        <v>34</v>
      </c>
    </row>
    <row r="1051" spans="1:8" ht="27.6" x14ac:dyDescent="0.25">
      <c r="A1051" s="3" t="s">
        <v>1004</v>
      </c>
      <c r="B1051" s="3" t="s">
        <v>1426</v>
      </c>
      <c r="C1051" s="4" t="str">
        <f>HYPERLINK("http://www.rncp.cncp.gouv.fr/grand-public/visualisationFiche?format=fr&amp;fiche=3420","3420")</f>
        <v>3420</v>
      </c>
      <c r="D1051" s="4" t="str">
        <f>HYPERLINK("http://www.intercariforef.org/formations/certification-16873.html","16873")</f>
        <v>16873</v>
      </c>
      <c r="E1051" s="5">
        <v>4982</v>
      </c>
      <c r="F1051" s="5" t="s">
        <v>10</v>
      </c>
      <c r="G1051" s="5" t="s">
        <v>11</v>
      </c>
      <c r="H1051" s="3" t="s">
        <v>1364</v>
      </c>
    </row>
    <row r="1052" spans="1:8" ht="27.6" x14ac:dyDescent="0.25">
      <c r="A1052" s="3" t="s">
        <v>1004</v>
      </c>
      <c r="B1052" s="3" t="s">
        <v>1427</v>
      </c>
      <c r="C1052" s="4" t="str">
        <f>HYPERLINK("http://www.rncp.cncp.gouv.fr/grand-public/visualisationFiche?format=fr&amp;fiche=18374","18374")</f>
        <v>18374</v>
      </c>
      <c r="D1052" s="4" t="str">
        <f>HYPERLINK("http://www.intercariforef.org/formations/certification-50044.html","50044")</f>
        <v>50044</v>
      </c>
      <c r="E1052" s="5">
        <v>5127</v>
      </c>
      <c r="F1052" s="5" t="s">
        <v>10</v>
      </c>
      <c r="G1052" s="5" t="s">
        <v>11</v>
      </c>
      <c r="H1052" s="3" t="s">
        <v>731</v>
      </c>
    </row>
    <row r="1053" spans="1:8" ht="13.8" x14ac:dyDescent="0.25">
      <c r="A1053" s="3" t="s">
        <v>1004</v>
      </c>
      <c r="B1053" s="3" t="s">
        <v>1428</v>
      </c>
      <c r="C1053" s="5"/>
      <c r="D1053" s="4" t="str">
        <f>HYPERLINK("http://www.intercariforef.org/formations/certification-62817.html","62817")</f>
        <v>62817</v>
      </c>
      <c r="E1053" s="5">
        <v>5136</v>
      </c>
      <c r="F1053" s="5" t="s">
        <v>10</v>
      </c>
      <c r="G1053" s="5" t="s">
        <v>11</v>
      </c>
      <c r="H1053" s="3" t="s">
        <v>756</v>
      </c>
    </row>
    <row r="1054" spans="1:8" ht="13.8" x14ac:dyDescent="0.25">
      <c r="A1054" s="3" t="s">
        <v>1004</v>
      </c>
      <c r="B1054" s="3" t="s">
        <v>1428</v>
      </c>
      <c r="C1054" s="4" t="str">
        <f>HYPERLINK("http://www.rncp.cncp.gouv.fr/grand-public/visualisationFiche?format=fr&amp;fiche=11955","11955")</f>
        <v>11955</v>
      </c>
      <c r="D1054" s="4" t="str">
        <f>HYPERLINK("http://www.intercariforef.org/formations/certification-82022.html","82022")</f>
        <v>82022</v>
      </c>
      <c r="E1054" s="5">
        <v>5133</v>
      </c>
      <c r="F1054" s="5" t="s">
        <v>10</v>
      </c>
      <c r="G1054" s="5" t="s">
        <v>11</v>
      </c>
      <c r="H1054" s="3" t="s">
        <v>758</v>
      </c>
    </row>
    <row r="1055" spans="1:8" ht="13.8" x14ac:dyDescent="0.25">
      <c r="A1055" s="3" t="s">
        <v>1004</v>
      </c>
      <c r="B1055" s="3" t="s">
        <v>1428</v>
      </c>
      <c r="C1055" s="4" t="str">
        <f>HYPERLINK("http://www.rncp.cncp.gouv.fr/grand-public/visualisationFiche?format=fr&amp;fiche=18082","18082")</f>
        <v>18082</v>
      </c>
      <c r="D1055" s="4" t="str">
        <f>HYPERLINK("http://www.intercariforef.org/formations/certification-64777.html","64777")</f>
        <v>64777</v>
      </c>
      <c r="E1055" s="5">
        <v>5165</v>
      </c>
      <c r="F1055" s="5" t="s">
        <v>10</v>
      </c>
      <c r="G1055" s="5" t="s">
        <v>11</v>
      </c>
      <c r="H1055" s="3" t="s">
        <v>731</v>
      </c>
    </row>
    <row r="1056" spans="1:8" ht="27.6" x14ac:dyDescent="0.25">
      <c r="A1056" s="3" t="s">
        <v>1004</v>
      </c>
      <c r="B1056" s="3" t="s">
        <v>1429</v>
      </c>
      <c r="C1056" s="4" t="str">
        <f>HYPERLINK("http://www.rncp.cncp.gouv.fr/grand-public/visualisationFiche?format=fr&amp;fiche=6447","6447")</f>
        <v>6447</v>
      </c>
      <c r="D1056" s="4" t="str">
        <f>HYPERLINK("http://www.intercariforef.org/formations/certification-77961.html","77961")</f>
        <v>77961</v>
      </c>
      <c r="E1056" s="5">
        <v>5166</v>
      </c>
      <c r="F1056" s="5" t="s">
        <v>10</v>
      </c>
      <c r="G1056" s="5" t="s">
        <v>11</v>
      </c>
      <c r="H1056" s="3" t="s">
        <v>783</v>
      </c>
    </row>
    <row r="1057" spans="1:8" ht="27.6" x14ac:dyDescent="0.25">
      <c r="A1057" s="3" t="s">
        <v>1004</v>
      </c>
      <c r="B1057" s="3" t="s">
        <v>1430</v>
      </c>
      <c r="C1057" s="4" t="str">
        <f>HYPERLINK("http://www.rncp.cncp.gouv.fr/grand-public/visualisationFiche?format=fr&amp;fiche=17948","17948")</f>
        <v>17948</v>
      </c>
      <c r="D1057" s="4" t="str">
        <f>HYPERLINK("http://www.intercariforef.org/formations/certification-64888.html","64888")</f>
        <v>64888</v>
      </c>
      <c r="E1057" s="5">
        <v>5187</v>
      </c>
      <c r="F1057" s="5" t="s">
        <v>10</v>
      </c>
      <c r="G1057" s="5" t="s">
        <v>11</v>
      </c>
      <c r="H1057" s="3" t="s">
        <v>785</v>
      </c>
    </row>
    <row r="1058" spans="1:8" ht="27.6" x14ac:dyDescent="0.25">
      <c r="A1058" s="3" t="s">
        <v>1004</v>
      </c>
      <c r="B1058" s="3" t="s">
        <v>1431</v>
      </c>
      <c r="C1058" s="5"/>
      <c r="D1058" s="4" t="str">
        <f>HYPERLINK("http://www.intercariforef.org/formations/certification-42384.html","42384")</f>
        <v>42384</v>
      </c>
      <c r="E1058" s="5">
        <v>5003</v>
      </c>
      <c r="F1058" s="5" t="s">
        <v>10</v>
      </c>
      <c r="G1058" s="5" t="s">
        <v>11</v>
      </c>
      <c r="H1058" s="3" t="s">
        <v>758</v>
      </c>
    </row>
    <row r="1059" spans="1:8" ht="27.6" x14ac:dyDescent="0.25">
      <c r="A1059" s="3" t="s">
        <v>1004</v>
      </c>
      <c r="B1059" s="3" t="s">
        <v>1432</v>
      </c>
      <c r="C1059" s="4" t="str">
        <f>HYPERLINK("http://www.rncp.cncp.gouv.fr/grand-public/visualisationFiche?format=fr&amp;fiche=14140","14140")</f>
        <v>14140</v>
      </c>
      <c r="D1059" s="4" t="str">
        <f>HYPERLINK("http://www.intercariforef.org/formations/certification-50091.html","50091")</f>
        <v>50091</v>
      </c>
      <c r="E1059" s="5">
        <v>5107</v>
      </c>
      <c r="F1059" s="5" t="s">
        <v>10</v>
      </c>
      <c r="G1059" s="5" t="s">
        <v>11</v>
      </c>
      <c r="H1059" s="3" t="s">
        <v>737</v>
      </c>
    </row>
    <row r="1060" spans="1:8" ht="27.6" x14ac:dyDescent="0.25">
      <c r="A1060" s="3" t="s">
        <v>1004</v>
      </c>
      <c r="B1060" s="3" t="s">
        <v>1433</v>
      </c>
      <c r="C1060" s="4" t="str">
        <f>HYPERLINK("http://www.rncp.cncp.gouv.fr/grand-public/visualisationFiche?format=fr&amp;fiche=5876","5876")</f>
        <v>5876</v>
      </c>
      <c r="D1060" s="4" t="str">
        <f>HYPERLINK("http://www.intercariforef.org/formations/certification-55141.html","55141")</f>
        <v>55141</v>
      </c>
      <c r="E1060" s="5">
        <v>5011</v>
      </c>
      <c r="F1060" s="5" t="s">
        <v>10</v>
      </c>
      <c r="G1060" s="5" t="s">
        <v>11</v>
      </c>
      <c r="H1060" s="3" t="s">
        <v>1364</v>
      </c>
    </row>
    <row r="1061" spans="1:8" ht="13.8" x14ac:dyDescent="0.25">
      <c r="A1061" s="3" t="s">
        <v>1004</v>
      </c>
      <c r="B1061" s="3" t="s">
        <v>1434</v>
      </c>
      <c r="C1061" s="4" t="str">
        <f>HYPERLINK("http://www.rncp.cncp.gouv.fr/grand-public/visualisationFiche?format=fr&amp;fiche=17949","17949")</f>
        <v>17949</v>
      </c>
      <c r="D1061" s="4" t="str">
        <f>HYPERLINK("http://www.intercariforef.org/formations/certification-68901.html","68901")</f>
        <v>68901</v>
      </c>
      <c r="E1061" s="5">
        <v>5189</v>
      </c>
      <c r="F1061" s="5" t="s">
        <v>10</v>
      </c>
      <c r="G1061" s="5" t="s">
        <v>11</v>
      </c>
      <c r="H1061" s="3" t="s">
        <v>785</v>
      </c>
    </row>
    <row r="1062" spans="1:8" ht="27.6" x14ac:dyDescent="0.25">
      <c r="A1062" s="3" t="s">
        <v>1004</v>
      </c>
      <c r="B1062" s="3" t="s">
        <v>1435</v>
      </c>
      <c r="C1062" s="4" t="str">
        <f>HYPERLINK("http://www.rncp.cncp.gouv.fr/grand-public/visualisationFiche?format=fr&amp;fiche=10247","10247")</f>
        <v>10247</v>
      </c>
      <c r="D1062" s="4" t="str">
        <f>HYPERLINK("http://www.intercariforef.org/formations/certification-64002.html","64002")</f>
        <v>64002</v>
      </c>
      <c r="E1062" s="5">
        <v>5191</v>
      </c>
      <c r="F1062" s="5" t="s">
        <v>10</v>
      </c>
      <c r="G1062" s="5" t="s">
        <v>11</v>
      </c>
      <c r="H1062" s="3" t="s">
        <v>538</v>
      </c>
    </row>
    <row r="1063" spans="1:8" ht="27.6" x14ac:dyDescent="0.25">
      <c r="A1063" s="3" t="s">
        <v>1004</v>
      </c>
      <c r="B1063" s="3" t="s">
        <v>1436</v>
      </c>
      <c r="C1063" s="4" t="str">
        <f>HYPERLINK("http://www.rncp.cncp.gouv.fr/grand-public/visualisationFiche?format=fr&amp;fiche=5921","5921")</f>
        <v>5921</v>
      </c>
      <c r="D1063" s="4" t="str">
        <f>HYPERLINK("http://www.intercariforef.org/formations/certification-60114.html","60114")</f>
        <v>60114</v>
      </c>
      <c r="E1063" s="5">
        <v>5482</v>
      </c>
      <c r="F1063" s="5" t="s">
        <v>10</v>
      </c>
      <c r="G1063" s="5" t="s">
        <v>11</v>
      </c>
      <c r="H1063" s="3" t="s">
        <v>1437</v>
      </c>
    </row>
    <row r="1064" spans="1:8" ht="13.8" x14ac:dyDescent="0.25">
      <c r="A1064" s="3" t="s">
        <v>1004</v>
      </c>
      <c r="B1064" s="3" t="s">
        <v>1438</v>
      </c>
      <c r="C1064" s="4" t="str">
        <f>HYPERLINK("http://www.rncp.cncp.gouv.fr/grand-public/visualisationFiche?format=fr&amp;fiche=4156","4156")</f>
        <v>4156</v>
      </c>
      <c r="D1064" s="4" t="str">
        <f>HYPERLINK("http://www.intercariforef.org/formations/certification-16923.html","16923")</f>
        <v>16923</v>
      </c>
      <c r="E1064" s="5">
        <v>5400</v>
      </c>
      <c r="F1064" s="5" t="s">
        <v>10</v>
      </c>
      <c r="G1064" s="5" t="s">
        <v>11</v>
      </c>
      <c r="H1064" s="3" t="s">
        <v>753</v>
      </c>
    </row>
    <row r="1065" spans="1:8" ht="27.6" x14ac:dyDescent="0.25">
      <c r="A1065" s="3" t="s">
        <v>1004</v>
      </c>
      <c r="B1065" s="3" t="s">
        <v>1439</v>
      </c>
      <c r="C1065" s="4" t="str">
        <f>HYPERLINK("http://www.rncp.cncp.gouv.fr/grand-public/visualisationFiche?format=fr&amp;fiche=18137","18137")</f>
        <v>18137</v>
      </c>
      <c r="D1065" s="4" t="str">
        <f>HYPERLINK("http://www.intercariforef.org/formations/certification-55013.html","55013")</f>
        <v>55013</v>
      </c>
      <c r="E1065" s="5">
        <v>5201</v>
      </c>
      <c r="F1065" s="5" t="s">
        <v>10</v>
      </c>
      <c r="G1065" s="5" t="s">
        <v>11</v>
      </c>
      <c r="H1065" s="3" t="s">
        <v>1440</v>
      </c>
    </row>
    <row r="1066" spans="1:8" ht="27.6" x14ac:dyDescent="0.25">
      <c r="A1066" s="3" t="s">
        <v>1004</v>
      </c>
      <c r="B1066" s="3" t="s">
        <v>1441</v>
      </c>
      <c r="C1066" s="4" t="str">
        <f>HYPERLINK("http://www.rncp.cncp.gouv.fr/grand-public/visualisationFiche?format=fr&amp;fiche=19213","19213")</f>
        <v>19213</v>
      </c>
      <c r="D1066" s="4" t="str">
        <f>HYPERLINK("http://www.intercariforef.org/formations/certification-80100.html","80100")</f>
        <v>80100</v>
      </c>
      <c r="E1066" s="5">
        <v>5116</v>
      </c>
      <c r="F1066" s="5" t="s">
        <v>10</v>
      </c>
      <c r="G1066" s="5" t="s">
        <v>11</v>
      </c>
      <c r="H1066" s="3" t="s">
        <v>763</v>
      </c>
    </row>
    <row r="1067" spans="1:8" ht="27.6" x14ac:dyDescent="0.25">
      <c r="A1067" s="3" t="s">
        <v>1004</v>
      </c>
      <c r="B1067" s="3" t="s">
        <v>1442</v>
      </c>
      <c r="C1067" s="4" t="str">
        <f>HYPERLINK("http://www.rncp.cncp.gouv.fr/grand-public/visualisationFiche?format=fr&amp;fiche=3178","3178")</f>
        <v>3178</v>
      </c>
      <c r="D1067" s="4" t="str">
        <f>HYPERLINK("http://www.intercariforef.org/formations/certification-16926.html","16926")</f>
        <v>16926</v>
      </c>
      <c r="E1067" s="5">
        <v>5412</v>
      </c>
      <c r="F1067" s="5" t="s">
        <v>10</v>
      </c>
      <c r="G1067" s="5" t="s">
        <v>11</v>
      </c>
      <c r="H1067" s="3" t="s">
        <v>899</v>
      </c>
    </row>
    <row r="1068" spans="1:8" ht="27.6" x14ac:dyDescent="0.25">
      <c r="A1068" s="3" t="s">
        <v>1004</v>
      </c>
      <c r="B1068" s="3" t="s">
        <v>1443</v>
      </c>
      <c r="C1068" s="4" t="str">
        <f>HYPERLINK("http://www.rncp.cncp.gouv.fr/grand-public/visualisationFiche?format=fr&amp;fiche=6523","6523")</f>
        <v>6523</v>
      </c>
      <c r="D1068" s="4" t="str">
        <f>HYPERLINK("http://www.intercariforef.org/formations/certification-59277.html","59277")</f>
        <v>59277</v>
      </c>
      <c r="E1068" s="5">
        <v>5019</v>
      </c>
      <c r="F1068" s="5" t="s">
        <v>10</v>
      </c>
      <c r="G1068" s="5" t="s">
        <v>11</v>
      </c>
      <c r="H1068" s="3" t="s">
        <v>880</v>
      </c>
    </row>
    <row r="1069" spans="1:8" ht="27.6" x14ac:dyDescent="0.25">
      <c r="A1069" s="3" t="s">
        <v>1004</v>
      </c>
      <c r="B1069" s="3" t="s">
        <v>1444</v>
      </c>
      <c r="C1069" s="4" t="str">
        <f>HYPERLINK("http://www.rncp.cncp.gouv.fr/grand-public/visualisationFiche?format=fr&amp;fiche=5839","5839")</f>
        <v>5839</v>
      </c>
      <c r="D1069" s="4" t="str">
        <f>HYPERLINK("http://www.intercariforef.org/formations/certification-55242.html","55242")</f>
        <v>55242</v>
      </c>
      <c r="E1069" s="5">
        <v>5209</v>
      </c>
      <c r="F1069" s="5" t="s">
        <v>10</v>
      </c>
      <c r="G1069" s="5" t="s">
        <v>11</v>
      </c>
      <c r="H1069" s="3" t="s">
        <v>1364</v>
      </c>
    </row>
    <row r="1070" spans="1:8" ht="27.6" x14ac:dyDescent="0.25">
      <c r="A1070" s="3" t="s">
        <v>1004</v>
      </c>
      <c r="B1070" s="3" t="s">
        <v>1445</v>
      </c>
      <c r="C1070" s="5"/>
      <c r="D1070" s="4" t="str">
        <f>HYPERLINK("http://www.intercariforef.org/formations/certification-63313.html","63313")</f>
        <v>63313</v>
      </c>
      <c r="E1070" s="5">
        <v>17411</v>
      </c>
      <c r="F1070" s="5" t="s">
        <v>10</v>
      </c>
      <c r="G1070" s="5" t="s">
        <v>11</v>
      </c>
      <c r="H1070" s="3" t="s">
        <v>1045</v>
      </c>
    </row>
    <row r="1071" spans="1:8" ht="27.6" x14ac:dyDescent="0.25">
      <c r="A1071" s="3" t="s">
        <v>1004</v>
      </c>
      <c r="B1071" s="3" t="s">
        <v>1446</v>
      </c>
      <c r="C1071" s="4" t="str">
        <f>HYPERLINK("http://www.rncp.cncp.gouv.fr/grand-public/visualisationFiche?format=fr&amp;fiche=5461","5461")</f>
        <v>5461</v>
      </c>
      <c r="D1071" s="4" t="str">
        <f>HYPERLINK("http://www.intercariforef.org/formations/certification-42530.html","42530")</f>
        <v>42530</v>
      </c>
      <c r="E1071" s="5">
        <v>5505</v>
      </c>
      <c r="F1071" s="5" t="s">
        <v>10</v>
      </c>
      <c r="G1071" s="5" t="s">
        <v>11</v>
      </c>
      <c r="H1071" s="3" t="s">
        <v>965</v>
      </c>
    </row>
    <row r="1072" spans="1:8" ht="27.6" x14ac:dyDescent="0.25">
      <c r="A1072" s="3" t="s">
        <v>1004</v>
      </c>
      <c r="B1072" s="3" t="s">
        <v>1447</v>
      </c>
      <c r="C1072" s="4" t="str">
        <f>HYPERLINK("http://www.rncp.cncp.gouv.fr/grand-public/visualisationFiche?format=fr&amp;fiche=11671","11671")</f>
        <v>11671</v>
      </c>
      <c r="D1072" s="4" t="str">
        <f>HYPERLINK("http://www.intercariforef.org/formations/certification-58849.html","58849")</f>
        <v>58849</v>
      </c>
      <c r="E1072" s="5">
        <v>5125</v>
      </c>
      <c r="F1072" s="5" t="s">
        <v>10</v>
      </c>
      <c r="G1072" s="5" t="s">
        <v>11</v>
      </c>
      <c r="H1072" s="3" t="s">
        <v>737</v>
      </c>
    </row>
    <row r="1073" spans="1:8" ht="13.8" x14ac:dyDescent="0.25">
      <c r="A1073" s="3" t="s">
        <v>1004</v>
      </c>
      <c r="B1073" s="3" t="s">
        <v>1448</v>
      </c>
      <c r="C1073" s="4" t="str">
        <f>HYPERLINK("http://www.rncp.cncp.gouv.fr/grand-public/visualisationFiche?format=fr&amp;fiche=10298","10298")</f>
        <v>10298</v>
      </c>
      <c r="D1073" s="4" t="str">
        <f>HYPERLINK("http://www.intercariforef.org/formations/certification-59090.html","59090")</f>
        <v>59090</v>
      </c>
      <c r="E1073" s="5">
        <v>17185</v>
      </c>
      <c r="F1073" s="5" t="s">
        <v>10</v>
      </c>
      <c r="G1073" s="5" t="s">
        <v>11</v>
      </c>
      <c r="H1073" s="3" t="s">
        <v>763</v>
      </c>
    </row>
    <row r="1074" spans="1:8" ht="27.6" x14ac:dyDescent="0.25">
      <c r="A1074" s="3" t="s">
        <v>1004</v>
      </c>
      <c r="B1074" s="3" t="s">
        <v>1449</v>
      </c>
      <c r="C1074" s="4" t="str">
        <f>HYPERLINK("http://www.rncp.cncp.gouv.fr/grand-public/visualisationFiche?format=fr&amp;fiche=12957","12957")</f>
        <v>12957</v>
      </c>
      <c r="D1074" s="4" t="str">
        <f>HYPERLINK("http://www.intercariforef.org/formations/certification-50226.html","50226")</f>
        <v>50226</v>
      </c>
      <c r="E1074" s="5">
        <v>5213</v>
      </c>
      <c r="F1074" s="5" t="s">
        <v>10</v>
      </c>
      <c r="G1074" s="5" t="s">
        <v>11</v>
      </c>
      <c r="H1074" s="3" t="s">
        <v>514</v>
      </c>
    </row>
    <row r="1075" spans="1:8" ht="27.6" x14ac:dyDescent="0.25">
      <c r="A1075" s="3" t="s">
        <v>1004</v>
      </c>
      <c r="B1075" s="3" t="s">
        <v>1450</v>
      </c>
      <c r="C1075" s="5"/>
      <c r="D1075" s="4" t="str">
        <f>HYPERLINK("http://www.intercariforef.org/formations/certification-64855.html","64855")</f>
        <v>64855</v>
      </c>
      <c r="E1075" s="5">
        <v>144844</v>
      </c>
      <c r="F1075" s="5" t="s">
        <v>10</v>
      </c>
      <c r="G1075" s="5" t="s">
        <v>11</v>
      </c>
      <c r="H1075" s="3" t="s">
        <v>1300</v>
      </c>
    </row>
    <row r="1076" spans="1:8" ht="27.6" x14ac:dyDescent="0.25">
      <c r="A1076" s="3" t="s">
        <v>1004</v>
      </c>
      <c r="B1076" s="3" t="s">
        <v>1451</v>
      </c>
      <c r="C1076" s="4" t="str">
        <f>HYPERLINK("http://www.rncp.cncp.gouv.fr/grand-public/visualisationFiche?format=fr&amp;fiche=17698","17698")</f>
        <v>17698</v>
      </c>
      <c r="D1076" s="4" t="str">
        <f>HYPERLINK("http://www.intercariforef.org/formations/certification-76265.html","76265")</f>
        <v>76265</v>
      </c>
      <c r="E1076" s="5">
        <v>6387</v>
      </c>
      <c r="F1076" s="5" t="s">
        <v>10</v>
      </c>
      <c r="G1076" s="5" t="s">
        <v>11</v>
      </c>
      <c r="H1076" s="3" t="s">
        <v>1364</v>
      </c>
    </row>
    <row r="1077" spans="1:8" ht="27.6" x14ac:dyDescent="0.25">
      <c r="A1077" s="3" t="s">
        <v>1004</v>
      </c>
      <c r="B1077" s="3" t="s">
        <v>1452</v>
      </c>
      <c r="C1077" s="4" t="str">
        <f>HYPERLINK("http://www.rncp.cncp.gouv.fr/grand-public/visualisationFiche?format=fr&amp;fiche=7081","7081")</f>
        <v>7081</v>
      </c>
      <c r="D1077" s="4" t="str">
        <f>HYPERLINK("http://www.intercariforef.org/formations/certification-78487.html","78487")</f>
        <v>78487</v>
      </c>
      <c r="E1077" s="5">
        <v>16454</v>
      </c>
      <c r="F1077" s="5" t="s">
        <v>10</v>
      </c>
      <c r="G1077" s="5" t="s">
        <v>11</v>
      </c>
      <c r="H1077" s="3" t="s">
        <v>739</v>
      </c>
    </row>
    <row r="1078" spans="1:8" ht="27.6" x14ac:dyDescent="0.25">
      <c r="A1078" s="3" t="s">
        <v>1004</v>
      </c>
      <c r="B1078" s="3" t="s">
        <v>1453</v>
      </c>
      <c r="C1078" s="4" t="str">
        <f>HYPERLINK("http://www.rncp.cncp.gouv.fr/grand-public/visualisationFiche?format=fr&amp;fiche=7596","7596")</f>
        <v>7596</v>
      </c>
      <c r="D1078" s="4" t="str">
        <f>HYPERLINK("http://www.intercariforef.org/formations/certification-58819.html","58819")</f>
        <v>58819</v>
      </c>
      <c r="E1078" s="5">
        <v>5624</v>
      </c>
      <c r="F1078" s="5" t="s">
        <v>10</v>
      </c>
      <c r="G1078" s="5" t="s">
        <v>11</v>
      </c>
      <c r="H1078" s="3" t="s">
        <v>850</v>
      </c>
    </row>
    <row r="1079" spans="1:8" ht="27.6" x14ac:dyDescent="0.25">
      <c r="A1079" s="3" t="s">
        <v>1004</v>
      </c>
      <c r="B1079" s="3" t="s">
        <v>1454</v>
      </c>
      <c r="C1079" s="4" t="str">
        <f>HYPERLINK("http://www.rncp.cncp.gouv.fr/grand-public/visualisationFiche?format=fr&amp;fiche=5345","5345")</f>
        <v>5345</v>
      </c>
      <c r="D1079" s="4" t="str">
        <f>HYPERLINK("http://www.intercariforef.org/formations/certification-55051.html","55051")</f>
        <v>55051</v>
      </c>
      <c r="E1079" s="5">
        <v>5215</v>
      </c>
      <c r="F1079" s="5" t="s">
        <v>10</v>
      </c>
      <c r="G1079" s="5" t="s">
        <v>11</v>
      </c>
      <c r="H1079" s="3" t="s">
        <v>899</v>
      </c>
    </row>
    <row r="1080" spans="1:8" ht="27.6" x14ac:dyDescent="0.25">
      <c r="A1080" s="3" t="s">
        <v>1004</v>
      </c>
      <c r="B1080" s="3" t="s">
        <v>1455</v>
      </c>
      <c r="C1080" s="4" t="str">
        <f>HYPERLINK("http://www.rncp.cncp.gouv.fr/grand-public/visualisationFiche?format=fr&amp;fiche=3230","3230")</f>
        <v>3230</v>
      </c>
      <c r="D1080" s="4" t="str">
        <f>HYPERLINK("http://www.intercariforef.org/formations/certification-16922.html","16922")</f>
        <v>16922</v>
      </c>
      <c r="E1080" s="5">
        <v>17428</v>
      </c>
      <c r="F1080" s="5" t="s">
        <v>10</v>
      </c>
      <c r="G1080" s="5" t="s">
        <v>11</v>
      </c>
      <c r="H1080" s="3" t="s">
        <v>734</v>
      </c>
    </row>
    <row r="1081" spans="1:8" ht="27.6" x14ac:dyDescent="0.25">
      <c r="A1081" s="3" t="s">
        <v>1004</v>
      </c>
      <c r="B1081" s="3" t="s">
        <v>1456</v>
      </c>
      <c r="C1081" s="4" t="str">
        <f>HYPERLINK("http://www.rncp.cncp.gouv.fr/grand-public/visualisationFiche?format=fr&amp;fiche=18409","18409")</f>
        <v>18409</v>
      </c>
      <c r="D1081" s="4" t="str">
        <f>HYPERLINK("http://www.intercariforef.org/formations/certification-42439.html","42439")</f>
        <v>42439</v>
      </c>
      <c r="E1081" s="5">
        <v>5559</v>
      </c>
      <c r="F1081" s="5" t="s">
        <v>10</v>
      </c>
      <c r="G1081" s="5" t="s">
        <v>11</v>
      </c>
      <c r="H1081" s="3" t="s">
        <v>731</v>
      </c>
    </row>
    <row r="1082" spans="1:8" ht="27.6" x14ac:dyDescent="0.25">
      <c r="A1082" s="3" t="s">
        <v>1004</v>
      </c>
      <c r="B1082" s="3" t="s">
        <v>1457</v>
      </c>
      <c r="C1082" s="4" t="str">
        <f>HYPERLINK("http://www.rncp.cncp.gouv.fr/grand-public/visualisationFiche?format=fr&amp;fiche=4835","4835")</f>
        <v>4835</v>
      </c>
      <c r="D1082" s="4" t="str">
        <f>HYPERLINK("http://www.intercariforef.org/formations/certification-50068.html","50068")</f>
        <v>50068</v>
      </c>
      <c r="E1082" s="5">
        <v>5218</v>
      </c>
      <c r="F1082" s="5" t="s">
        <v>10</v>
      </c>
      <c r="G1082" s="5" t="s">
        <v>11</v>
      </c>
      <c r="H1082" s="3" t="s">
        <v>899</v>
      </c>
    </row>
    <row r="1083" spans="1:8" ht="27.6" x14ac:dyDescent="0.25">
      <c r="A1083" s="3" t="s">
        <v>1004</v>
      </c>
      <c r="B1083" s="3" t="s">
        <v>1458</v>
      </c>
      <c r="C1083" s="4" t="str">
        <f>HYPERLINK("http://www.rncp.cncp.gouv.fr/grand-public/visualisationFiche?format=fr&amp;fiche=3264","3264")</f>
        <v>3264</v>
      </c>
      <c r="D1083" s="4" t="str">
        <f>HYPERLINK("http://www.intercariforef.org/formations/certification-16948.html","16948")</f>
        <v>16948</v>
      </c>
      <c r="E1083" s="5">
        <v>5221</v>
      </c>
      <c r="F1083" s="5" t="s">
        <v>10</v>
      </c>
      <c r="G1083" s="5" t="s">
        <v>11</v>
      </c>
      <c r="H1083" s="3" t="s">
        <v>810</v>
      </c>
    </row>
    <row r="1084" spans="1:8" ht="27.6" x14ac:dyDescent="0.25">
      <c r="A1084" s="3" t="s">
        <v>1004</v>
      </c>
      <c r="B1084" s="3" t="s">
        <v>1459</v>
      </c>
      <c r="C1084" s="4" t="str">
        <f>HYPERLINK("http://www.rncp.cncp.gouv.fr/grand-public/visualisationFiche?format=fr&amp;fiche=7082","7082")</f>
        <v>7082</v>
      </c>
      <c r="D1084" s="4" t="str">
        <f>HYPERLINK("http://www.intercariforef.org/formations/certification-58848.html","58848")</f>
        <v>58848</v>
      </c>
      <c r="E1084" s="5">
        <v>5126</v>
      </c>
      <c r="F1084" s="5" t="s">
        <v>10</v>
      </c>
      <c r="G1084" s="5" t="s">
        <v>11</v>
      </c>
      <c r="H1084" s="3" t="s">
        <v>739</v>
      </c>
    </row>
    <row r="1085" spans="1:8" ht="27.6" x14ac:dyDescent="0.25">
      <c r="A1085" s="3" t="s">
        <v>1004</v>
      </c>
      <c r="B1085" s="3" t="s">
        <v>1460</v>
      </c>
      <c r="C1085" s="4" t="str">
        <f>HYPERLINK("http://www.rncp.cncp.gouv.fr/grand-public/visualisationFiche?format=fr&amp;fiche=10253","10253")</f>
        <v>10253</v>
      </c>
      <c r="D1085" s="4" t="str">
        <f>HYPERLINK("http://www.intercariforef.org/formations/certification-16951.html","16951")</f>
        <v>16951</v>
      </c>
      <c r="E1085" s="5">
        <v>5228</v>
      </c>
      <c r="F1085" s="5" t="s">
        <v>10</v>
      </c>
      <c r="G1085" s="5" t="s">
        <v>11</v>
      </c>
      <c r="H1085" s="3" t="s">
        <v>538</v>
      </c>
    </row>
    <row r="1086" spans="1:8" ht="27.6" x14ac:dyDescent="0.25">
      <c r="A1086" s="3" t="s">
        <v>1004</v>
      </c>
      <c r="B1086" s="3" t="s">
        <v>1461</v>
      </c>
      <c r="C1086" s="4" t="str">
        <f>HYPERLINK("http://www.rncp.cncp.gouv.fr/grand-public/visualisationFiche?format=fr&amp;fiche=10255","10255")</f>
        <v>10255</v>
      </c>
      <c r="D1086" s="4" t="str">
        <f>HYPERLINK("http://www.intercariforef.org/formations/certification-42880.html","42880")</f>
        <v>42880</v>
      </c>
      <c r="E1086" s="5">
        <v>5449</v>
      </c>
      <c r="F1086" s="5" t="s">
        <v>10</v>
      </c>
      <c r="G1086" s="5" t="s">
        <v>11</v>
      </c>
      <c r="H1086" s="3" t="s">
        <v>538</v>
      </c>
    </row>
    <row r="1087" spans="1:8" ht="27.6" x14ac:dyDescent="0.25">
      <c r="A1087" s="3" t="s">
        <v>1004</v>
      </c>
      <c r="B1087" s="3" t="s">
        <v>1462</v>
      </c>
      <c r="C1087" s="4" t="str">
        <f>HYPERLINK("http://www.rncp.cncp.gouv.fr/grand-public/visualisationFiche?format=fr&amp;fiche=3383","3383")</f>
        <v>3383</v>
      </c>
      <c r="D1087" s="4" t="str">
        <f>HYPERLINK("http://www.intercariforef.org/formations/certification-54431.html","54431")</f>
        <v>54431</v>
      </c>
      <c r="E1087" s="5">
        <v>5248</v>
      </c>
      <c r="F1087" s="5" t="s">
        <v>10</v>
      </c>
      <c r="G1087" s="5" t="s">
        <v>11</v>
      </c>
      <c r="H1087" s="3" t="s">
        <v>963</v>
      </c>
    </row>
    <row r="1088" spans="1:8" ht="27.6" x14ac:dyDescent="0.25">
      <c r="A1088" s="3" t="s">
        <v>1004</v>
      </c>
      <c r="B1088" s="3" t="s">
        <v>1463</v>
      </c>
      <c r="C1088" s="4" t="str">
        <f>HYPERLINK("http://www.rncp.cncp.gouv.fr/grand-public/visualisationFiche?format=fr&amp;fiche=3241","3241")</f>
        <v>3241</v>
      </c>
      <c r="D1088" s="4" t="str">
        <f>HYPERLINK("http://www.intercariforef.org/formations/certification-16953.html","16953")</f>
        <v>16953</v>
      </c>
      <c r="E1088" s="5">
        <v>5099</v>
      </c>
      <c r="F1088" s="5" t="s">
        <v>10</v>
      </c>
      <c r="G1088" s="5" t="s">
        <v>11</v>
      </c>
      <c r="H1088" s="3" t="s">
        <v>842</v>
      </c>
    </row>
    <row r="1089" spans="1:8" ht="27.6" x14ac:dyDescent="0.25">
      <c r="A1089" s="3" t="s">
        <v>1004</v>
      </c>
      <c r="B1089" s="3" t="s">
        <v>1464</v>
      </c>
      <c r="C1089" s="4" t="str">
        <f>HYPERLINK("http://www.rncp.cncp.gouv.fr/grand-public/visualisationFiche?format=fr&amp;fiche=5383","5383")</f>
        <v>5383</v>
      </c>
      <c r="D1089" s="4" t="str">
        <f>HYPERLINK("http://www.intercariforef.org/formations/certification-55197.html","55197")</f>
        <v>55197</v>
      </c>
      <c r="E1089" s="5">
        <v>5249</v>
      </c>
      <c r="F1089" s="5" t="s">
        <v>10</v>
      </c>
      <c r="G1089" s="5" t="s">
        <v>11</v>
      </c>
      <c r="H1089" s="3" t="s">
        <v>810</v>
      </c>
    </row>
    <row r="1090" spans="1:8" ht="27.6" x14ac:dyDescent="0.25">
      <c r="A1090" s="3" t="s">
        <v>1004</v>
      </c>
      <c r="B1090" s="3" t="s">
        <v>1465</v>
      </c>
      <c r="C1090" s="4" t="str">
        <f>HYPERLINK("http://www.rncp.cncp.gouv.fr/grand-public/visualisationFiche?format=fr&amp;fiche=5223","5223")</f>
        <v>5223</v>
      </c>
      <c r="D1090" s="4" t="str">
        <f>HYPERLINK("http://www.intercariforef.org/formations/certification-42531.html","42531")</f>
        <v>42531</v>
      </c>
      <c r="E1090" s="5">
        <v>5258</v>
      </c>
      <c r="F1090" s="5" t="s">
        <v>10</v>
      </c>
      <c r="G1090" s="5" t="s">
        <v>11</v>
      </c>
      <c r="H1090" s="3" t="s">
        <v>892</v>
      </c>
    </row>
    <row r="1091" spans="1:8" ht="27.6" x14ac:dyDescent="0.25">
      <c r="A1091" s="3" t="s">
        <v>1004</v>
      </c>
      <c r="B1091" s="3" t="s">
        <v>1466</v>
      </c>
      <c r="C1091" s="4" t="str">
        <f>HYPERLINK("http://www.rncp.cncp.gouv.fr/grand-public/visualisationFiche?format=fr&amp;fiche=10233","10233")</f>
        <v>10233</v>
      </c>
      <c r="D1091" s="4" t="str">
        <f>HYPERLINK("http://www.intercariforef.org/formations/certification-64871.html","64871")</f>
        <v>64871</v>
      </c>
      <c r="E1091" s="5">
        <v>17313</v>
      </c>
      <c r="F1091" s="5" t="s">
        <v>10</v>
      </c>
      <c r="G1091" s="5" t="s">
        <v>11</v>
      </c>
      <c r="H1091" s="3" t="s">
        <v>538</v>
      </c>
    </row>
    <row r="1092" spans="1:8" ht="13.8" x14ac:dyDescent="0.25">
      <c r="A1092" s="3" t="s">
        <v>1004</v>
      </c>
      <c r="B1092" s="3" t="s">
        <v>1467</v>
      </c>
      <c r="C1092" s="4" t="str">
        <f>HYPERLINK("http://www.rncp.cncp.gouv.fr/grand-public/visualisationFiche?format=fr&amp;fiche=3792","3792")</f>
        <v>3792</v>
      </c>
      <c r="D1092" s="4" t="str">
        <f>HYPERLINK("http://www.intercariforef.org/formations/certification-64857.html","64857")</f>
        <v>64857</v>
      </c>
      <c r="E1092" s="5">
        <v>5303</v>
      </c>
      <c r="F1092" s="5" t="s">
        <v>10</v>
      </c>
      <c r="G1092" s="5" t="s">
        <v>11</v>
      </c>
      <c r="H1092" s="3" t="s">
        <v>783</v>
      </c>
    </row>
    <row r="1093" spans="1:8" ht="27.6" x14ac:dyDescent="0.25">
      <c r="A1093" s="3" t="s">
        <v>1004</v>
      </c>
      <c r="B1093" s="3" t="s">
        <v>1468</v>
      </c>
      <c r="C1093" s="4" t="str">
        <f>HYPERLINK("http://www.rncp.cncp.gouv.fr/grand-public/visualisationFiche?format=fr&amp;fiche=10475","10475")</f>
        <v>10475</v>
      </c>
      <c r="D1093" s="4" t="str">
        <f>HYPERLINK("http://www.intercariforef.org/formations/certification-42768.html","42768")</f>
        <v>42768</v>
      </c>
      <c r="E1093" s="5">
        <v>3559</v>
      </c>
      <c r="F1093" s="5" t="s">
        <v>10</v>
      </c>
      <c r="G1093" s="5" t="s">
        <v>11</v>
      </c>
      <c r="H1093" s="3" t="s">
        <v>1469</v>
      </c>
    </row>
    <row r="1094" spans="1:8" ht="27.6" x14ac:dyDescent="0.25">
      <c r="A1094" s="3" t="s">
        <v>1004</v>
      </c>
      <c r="B1094" s="3" t="s">
        <v>1470</v>
      </c>
      <c r="C1094" s="4" t="str">
        <f>HYPERLINK("http://www.rncp.cncp.gouv.fr/grand-public/visualisationFiche?format=fr&amp;fiche=18025","18025")</f>
        <v>18025</v>
      </c>
      <c r="D1094" s="4" t="str">
        <f>HYPERLINK("http://www.intercariforef.org/formations/certification-55022.html","55022")</f>
        <v>55022</v>
      </c>
      <c r="E1094" s="5">
        <v>5315</v>
      </c>
      <c r="F1094" s="5" t="s">
        <v>10</v>
      </c>
      <c r="G1094" s="5" t="s">
        <v>11</v>
      </c>
      <c r="H1094" s="3" t="s">
        <v>785</v>
      </c>
    </row>
    <row r="1095" spans="1:8" ht="27.6" x14ac:dyDescent="0.25">
      <c r="A1095" s="3" t="s">
        <v>1004</v>
      </c>
      <c r="B1095" s="3" t="s">
        <v>1471</v>
      </c>
      <c r="C1095" s="4" t="str">
        <f>HYPERLINK("http://www.rncp.cncp.gouv.fr/grand-public/visualisationFiche?format=fr&amp;fiche=18361","18361")</f>
        <v>18361</v>
      </c>
      <c r="D1095" s="4" t="str">
        <f>HYPERLINK("http://www.intercariforef.org/formations/certification-53764.html","53764")</f>
        <v>53764</v>
      </c>
      <c r="E1095" s="5">
        <v>5321</v>
      </c>
      <c r="F1095" s="5" t="s">
        <v>10</v>
      </c>
      <c r="G1095" s="5" t="s">
        <v>11</v>
      </c>
      <c r="H1095" s="3" t="s">
        <v>193</v>
      </c>
    </row>
    <row r="1096" spans="1:8" ht="27.6" x14ac:dyDescent="0.25">
      <c r="A1096" s="3" t="s">
        <v>1004</v>
      </c>
      <c r="B1096" s="3" t="s">
        <v>1472</v>
      </c>
      <c r="C1096" s="4" t="str">
        <f>HYPERLINK("http://www.rncp.cncp.gouv.fr/grand-public/visualisationFiche?format=fr&amp;fiche=3536","3536")</f>
        <v>3536</v>
      </c>
      <c r="D1096" s="4" t="str">
        <f>HYPERLINK("http://www.intercariforef.org/formations/certification-79303.html","79303")</f>
        <v>79303</v>
      </c>
      <c r="E1096" s="5">
        <v>17308</v>
      </c>
      <c r="F1096" s="5" t="s">
        <v>10</v>
      </c>
      <c r="G1096" s="5" t="s">
        <v>11</v>
      </c>
      <c r="H1096" s="3" t="s">
        <v>789</v>
      </c>
    </row>
    <row r="1097" spans="1:8" ht="27.6" x14ac:dyDescent="0.25">
      <c r="A1097" s="3" t="s">
        <v>1004</v>
      </c>
      <c r="B1097" s="3" t="s">
        <v>1473</v>
      </c>
      <c r="C1097" s="4" t="str">
        <f>HYPERLINK("http://www.rncp.cncp.gouv.fr/grand-public/visualisationFiche?format=fr&amp;fiche=3296","3296")</f>
        <v>3296</v>
      </c>
      <c r="D1097" s="4" t="str">
        <f>HYPERLINK("http://www.intercariforef.org/formations/certification-16963.html","16963")</f>
        <v>16963</v>
      </c>
      <c r="E1097" s="5">
        <v>5328</v>
      </c>
      <c r="F1097" s="5" t="s">
        <v>10</v>
      </c>
      <c r="G1097" s="5" t="s">
        <v>11</v>
      </c>
      <c r="H1097" s="3" t="s">
        <v>965</v>
      </c>
    </row>
    <row r="1098" spans="1:8" ht="27.6" x14ac:dyDescent="0.25">
      <c r="A1098" s="3" t="s">
        <v>1004</v>
      </c>
      <c r="B1098" s="3" t="s">
        <v>1474</v>
      </c>
      <c r="C1098" s="4" t="str">
        <f>HYPERLINK("http://www.rncp.cncp.gouv.fr/grand-public/visualisationFiche?format=fr&amp;fiche=17123","17123")</f>
        <v>17123</v>
      </c>
      <c r="D1098" s="4" t="str">
        <f>HYPERLINK("http://www.intercariforef.org/formations/certification-68899.html","68899")</f>
        <v>68899</v>
      </c>
      <c r="E1098" s="5">
        <v>5331</v>
      </c>
      <c r="F1098" s="5" t="s">
        <v>10</v>
      </c>
      <c r="G1098" s="5" t="s">
        <v>11</v>
      </c>
      <c r="H1098" s="3" t="s">
        <v>785</v>
      </c>
    </row>
    <row r="1099" spans="1:8" ht="27.6" x14ac:dyDescent="0.25">
      <c r="A1099" s="3" t="s">
        <v>1004</v>
      </c>
      <c r="B1099" s="3" t="s">
        <v>1475</v>
      </c>
      <c r="C1099" s="4" t="str">
        <f>HYPERLINK("http://www.rncp.cncp.gouv.fr/grand-public/visualisationFiche?format=fr&amp;fiche=18368","18368")</f>
        <v>18368</v>
      </c>
      <c r="D1099" s="4" t="str">
        <f>HYPERLINK("http://www.intercariforef.org/formations/certification-82058.html","82058")</f>
        <v>82058</v>
      </c>
      <c r="E1099" s="5">
        <v>3272</v>
      </c>
      <c r="F1099" s="5" t="s">
        <v>10</v>
      </c>
      <c r="G1099" s="5" t="s">
        <v>11</v>
      </c>
      <c r="H1099" s="3" t="s">
        <v>731</v>
      </c>
    </row>
    <row r="1100" spans="1:8" ht="27.6" x14ac:dyDescent="0.25">
      <c r="A1100" s="3" t="s">
        <v>1004</v>
      </c>
      <c r="B1100" s="3" t="s">
        <v>1476</v>
      </c>
      <c r="C1100" s="4" t="str">
        <f>HYPERLINK("http://www.rncp.cncp.gouv.fr/grand-public/visualisationFiche?format=fr&amp;fiche=18175","18175")</f>
        <v>18175</v>
      </c>
      <c r="D1100" s="4" t="str">
        <f>HYPERLINK("http://www.intercariforef.org/formations/certification-82123.html","82123")</f>
        <v>82123</v>
      </c>
      <c r="E1100" s="5">
        <v>17304</v>
      </c>
      <c r="F1100" s="5" t="s">
        <v>10</v>
      </c>
      <c r="G1100" s="5" t="s">
        <v>11</v>
      </c>
      <c r="H1100" s="3" t="s">
        <v>731</v>
      </c>
    </row>
    <row r="1101" spans="1:8" ht="13.8" x14ac:dyDescent="0.25">
      <c r="A1101" s="3" t="s">
        <v>1004</v>
      </c>
      <c r="B1101" s="3" t="s">
        <v>1477</v>
      </c>
      <c r="C1101" s="4" t="str">
        <f>HYPERLINK("http://www.rncp.cncp.gouv.fr/grand-public/visualisationFiche?format=fr&amp;fiche=15544","15544")</f>
        <v>15544</v>
      </c>
      <c r="D1101" s="4" t="str">
        <f>HYPERLINK("http://www.intercariforef.org/formations/certification-58705.html","58705")</f>
        <v>58705</v>
      </c>
      <c r="E1101" s="5">
        <v>5455</v>
      </c>
      <c r="F1101" s="5" t="s">
        <v>10</v>
      </c>
      <c r="G1101" s="5" t="s">
        <v>11</v>
      </c>
      <c r="H1101" s="3" t="s">
        <v>776</v>
      </c>
    </row>
    <row r="1102" spans="1:8" ht="27.6" x14ac:dyDescent="0.25">
      <c r="A1102" s="3" t="s">
        <v>1004</v>
      </c>
      <c r="B1102" s="3" t="s">
        <v>1478</v>
      </c>
      <c r="C1102" s="4" t="str">
        <f>HYPERLINK("http://www.rncp.cncp.gouv.fr/grand-public/visualisationFiche?format=fr&amp;fiche=18641","18641")</f>
        <v>18641</v>
      </c>
      <c r="D1102" s="4" t="str">
        <f>HYPERLINK("http://www.intercariforef.org/formations/certification-63041.html","63041")</f>
        <v>63041</v>
      </c>
      <c r="E1102" s="5">
        <v>162408</v>
      </c>
      <c r="F1102" s="5" t="s">
        <v>10</v>
      </c>
      <c r="G1102" s="5" t="s">
        <v>11</v>
      </c>
      <c r="H1102" s="3" t="s">
        <v>731</v>
      </c>
    </row>
    <row r="1103" spans="1:8" ht="27.6" x14ac:dyDescent="0.25">
      <c r="A1103" s="3" t="s">
        <v>1004</v>
      </c>
      <c r="B1103" s="3" t="s">
        <v>1479</v>
      </c>
      <c r="C1103" s="4" t="str">
        <f>HYPERLINK("http://www.rncp.cncp.gouv.fr/grand-public/visualisationFiche?format=fr&amp;fiche=4295","4295")</f>
        <v>4295</v>
      </c>
      <c r="D1103" s="4" t="str">
        <f>HYPERLINK("http://www.intercariforef.org/formations/certification-64878.html","64878")</f>
        <v>64878</v>
      </c>
      <c r="E1103" s="5">
        <v>2601</v>
      </c>
      <c r="F1103" s="5" t="s">
        <v>10</v>
      </c>
      <c r="G1103" s="5" t="s">
        <v>11</v>
      </c>
      <c r="H1103" s="3" t="s">
        <v>934</v>
      </c>
    </row>
    <row r="1104" spans="1:8" ht="27.6" x14ac:dyDescent="0.25">
      <c r="A1104" s="3" t="s">
        <v>1004</v>
      </c>
      <c r="B1104" s="3" t="s">
        <v>1480</v>
      </c>
      <c r="C1104" s="4" t="str">
        <f>HYPERLINK("http://www.rncp.cncp.gouv.fr/grand-public/visualisationFiche?format=fr&amp;fiche=3719","3719")</f>
        <v>3719</v>
      </c>
      <c r="D1104" s="4" t="str">
        <f>HYPERLINK("http://www.intercariforef.org/formations/certification-17051.html","17051")</f>
        <v>17051</v>
      </c>
      <c r="E1104" s="5">
        <v>131745</v>
      </c>
      <c r="F1104" s="5" t="s">
        <v>10</v>
      </c>
      <c r="G1104" s="5" t="s">
        <v>11</v>
      </c>
      <c r="H1104" s="3" t="s">
        <v>779</v>
      </c>
    </row>
    <row r="1105" spans="1:8" ht="27.6" x14ac:dyDescent="0.25">
      <c r="A1105" s="3" t="s">
        <v>1004</v>
      </c>
      <c r="B1105" s="3" t="s">
        <v>1481</v>
      </c>
      <c r="C1105" s="4" t="str">
        <f>HYPERLINK("http://www.rncp.cncp.gouv.fr/grand-public/visualisationFiche?format=fr&amp;fiche=5511","5511")</f>
        <v>5511</v>
      </c>
      <c r="D1105" s="4" t="str">
        <f>HYPERLINK("http://www.intercariforef.org/formations/certification-17113.html","17113")</f>
        <v>17113</v>
      </c>
      <c r="E1105" s="5">
        <v>5606</v>
      </c>
      <c r="F1105" s="5" t="s">
        <v>10</v>
      </c>
      <c r="G1105" s="5" t="s">
        <v>11</v>
      </c>
      <c r="H1105" s="3" t="s">
        <v>744</v>
      </c>
    </row>
    <row r="1106" spans="1:8" ht="27.6" x14ac:dyDescent="0.25">
      <c r="A1106" s="3" t="s">
        <v>1004</v>
      </c>
      <c r="B1106" s="3" t="s">
        <v>1482</v>
      </c>
      <c r="C1106" s="4" t="str">
        <f>HYPERLINK("http://www.rncp.cncp.gouv.fr/grand-public/visualisationFiche?format=fr&amp;fiche=4947","4947")</f>
        <v>4947</v>
      </c>
      <c r="D1106" s="4" t="str">
        <f>HYPERLINK("http://www.intercariforef.org/formations/certification-50229.html","50229")</f>
        <v>50229</v>
      </c>
      <c r="E1106" s="5">
        <v>5607</v>
      </c>
      <c r="F1106" s="5" t="s">
        <v>10</v>
      </c>
      <c r="G1106" s="5" t="s">
        <v>11</v>
      </c>
      <c r="H1106" s="3" t="s">
        <v>776</v>
      </c>
    </row>
    <row r="1107" spans="1:8" ht="27.6" x14ac:dyDescent="0.25">
      <c r="A1107" s="3" t="s">
        <v>1004</v>
      </c>
      <c r="B1107" s="3" t="s">
        <v>1483</v>
      </c>
      <c r="C1107" s="4" t="str">
        <f>HYPERLINK("http://www.rncp.cncp.gouv.fr/grand-public/visualisationFiche?format=fr&amp;fiche=14576","14576")</f>
        <v>14576</v>
      </c>
      <c r="D1107" s="4" t="str">
        <f>HYPERLINK("http://www.intercariforef.org/formations/certification-63376.html","63376")</f>
        <v>63376</v>
      </c>
      <c r="E1107" s="5">
        <v>5608</v>
      </c>
      <c r="F1107" s="5" t="s">
        <v>10</v>
      </c>
      <c r="G1107" s="5" t="s">
        <v>11</v>
      </c>
      <c r="H1107" s="3" t="s">
        <v>742</v>
      </c>
    </row>
    <row r="1108" spans="1:8" ht="27.6" x14ac:dyDescent="0.25">
      <c r="A1108" s="3" t="s">
        <v>1004</v>
      </c>
      <c r="B1108" s="3" t="s">
        <v>1484</v>
      </c>
      <c r="C1108" s="4" t="str">
        <f>HYPERLINK("http://www.rncp.cncp.gouv.fr/grand-public/visualisationFiche?format=fr&amp;fiche=5798","5798")</f>
        <v>5798</v>
      </c>
      <c r="D1108" s="4" t="str">
        <f>HYPERLINK("http://www.intercariforef.org/formations/certification-53806.html","53806")</f>
        <v>53806</v>
      </c>
      <c r="E1108" s="5">
        <v>5609</v>
      </c>
      <c r="F1108" s="5" t="s">
        <v>10</v>
      </c>
      <c r="G1108" s="5" t="s">
        <v>11</v>
      </c>
      <c r="H1108" s="3" t="s">
        <v>810</v>
      </c>
    </row>
    <row r="1109" spans="1:8" ht="27.6" x14ac:dyDescent="0.25">
      <c r="A1109" s="3" t="s">
        <v>1004</v>
      </c>
      <c r="B1109" s="3" t="s">
        <v>1485</v>
      </c>
      <c r="C1109" s="4" t="str">
        <f>HYPERLINK("http://www.rncp.cncp.gouv.fr/grand-public/visualisationFiche?format=fr&amp;fiche=18541","18541")</f>
        <v>18541</v>
      </c>
      <c r="D1109" s="4" t="str">
        <f>HYPERLINK("http://www.intercariforef.org/formations/certification-42799.html","42799")</f>
        <v>42799</v>
      </c>
      <c r="E1109" s="5">
        <v>5601</v>
      </c>
      <c r="F1109" s="5" t="s">
        <v>10</v>
      </c>
      <c r="G1109" s="5" t="s">
        <v>11</v>
      </c>
      <c r="H1109" s="3" t="s">
        <v>731</v>
      </c>
    </row>
    <row r="1110" spans="1:8" ht="27.6" x14ac:dyDescent="0.25">
      <c r="A1110" s="3" t="s">
        <v>1004</v>
      </c>
      <c r="B1110" s="3" t="s">
        <v>1486</v>
      </c>
      <c r="C1110" s="4" t="str">
        <f>HYPERLINK("http://www.rncp.cncp.gouv.fr/grand-public/visualisationFiche?format=fr&amp;fiche=20192","20192")</f>
        <v>20192</v>
      </c>
      <c r="D1110" s="4" t="str">
        <f>HYPERLINK("http://www.intercariforef.org/formations/certification-17137.html","17137")</f>
        <v>17137</v>
      </c>
      <c r="E1110" s="5">
        <v>17324</v>
      </c>
      <c r="F1110" s="5" t="s">
        <v>10</v>
      </c>
      <c r="G1110" s="5" t="s">
        <v>11</v>
      </c>
      <c r="H1110" s="3" t="s">
        <v>1045</v>
      </c>
    </row>
    <row r="1111" spans="1:8" ht="27.6" x14ac:dyDescent="0.25">
      <c r="A1111" s="3" t="s">
        <v>1004</v>
      </c>
      <c r="B1111" s="3" t="s">
        <v>1487</v>
      </c>
      <c r="C1111" s="4" t="str">
        <f>HYPERLINK("http://www.rncp.cncp.gouv.fr/grand-public/visualisationFiche?format=fr&amp;fiche=17401","17401")</f>
        <v>17401</v>
      </c>
      <c r="D1111" s="4" t="str">
        <f>HYPERLINK("http://www.intercariforef.org/formations/certification-59843.html","59843")</f>
        <v>59843</v>
      </c>
      <c r="E1111" s="5">
        <v>5602</v>
      </c>
      <c r="F1111" s="5" t="s">
        <v>10</v>
      </c>
      <c r="G1111" s="5" t="s">
        <v>11</v>
      </c>
      <c r="H1111" s="3" t="s">
        <v>785</v>
      </c>
    </row>
    <row r="1112" spans="1:8" ht="41.4" x14ac:dyDescent="0.25">
      <c r="A1112" s="3" t="s">
        <v>1004</v>
      </c>
      <c r="B1112" s="3" t="s">
        <v>1488</v>
      </c>
      <c r="C1112" s="5"/>
      <c r="D1112" s="4" t="str">
        <f>HYPERLINK("http://www.intercariforef.org/formations/certification-64063.html","64063")</f>
        <v>64063</v>
      </c>
      <c r="E1112" s="5">
        <v>5571</v>
      </c>
      <c r="F1112" s="5" t="s">
        <v>10</v>
      </c>
      <c r="G1112" s="5" t="s">
        <v>11</v>
      </c>
      <c r="H1112" s="3" t="s">
        <v>954</v>
      </c>
    </row>
    <row r="1113" spans="1:8" ht="27.6" x14ac:dyDescent="0.25">
      <c r="A1113" s="3" t="s">
        <v>1004</v>
      </c>
      <c r="B1113" s="3" t="s">
        <v>1489</v>
      </c>
      <c r="C1113" s="4" t="str">
        <f>HYPERLINK("http://www.rncp.cncp.gouv.fr/grand-public/visualisationFiche?format=fr&amp;fiche=15545","15545")</f>
        <v>15545</v>
      </c>
      <c r="D1113" s="4" t="str">
        <f>HYPERLINK("http://www.intercariforef.org/formations/certification-58706.html","58706")</f>
        <v>58706</v>
      </c>
      <c r="E1113" s="5">
        <v>5603</v>
      </c>
      <c r="F1113" s="5" t="s">
        <v>10</v>
      </c>
      <c r="G1113" s="5" t="s">
        <v>11</v>
      </c>
      <c r="H1113" s="3" t="s">
        <v>776</v>
      </c>
    </row>
    <row r="1114" spans="1:8" ht="13.8" x14ac:dyDescent="0.25">
      <c r="A1114" s="3" t="s">
        <v>1004</v>
      </c>
      <c r="B1114" s="3" t="s">
        <v>1490</v>
      </c>
      <c r="C1114" s="4" t="str">
        <f>HYPERLINK("http://www.rncp.cncp.gouv.fr/grand-public/visualisationFiche?format=fr&amp;fiche=3521","3521")</f>
        <v>3521</v>
      </c>
      <c r="D1114" s="4" t="str">
        <f>HYPERLINK("http://www.intercariforef.org/formations/certification-64761.html","64761")</f>
        <v>64761</v>
      </c>
      <c r="E1114" s="5">
        <v>162421</v>
      </c>
      <c r="F1114" s="5" t="s">
        <v>10</v>
      </c>
      <c r="G1114" s="5" t="s">
        <v>11</v>
      </c>
      <c r="H1114" s="3" t="s">
        <v>733</v>
      </c>
    </row>
    <row r="1115" spans="1:8" ht="27.6" x14ac:dyDescent="0.25">
      <c r="A1115" s="3" t="s">
        <v>1004</v>
      </c>
      <c r="B1115" s="3" t="s">
        <v>1491</v>
      </c>
      <c r="C1115" s="4" t="str">
        <f>HYPERLINK("http://www.rncp.cncp.gouv.fr/grand-public/visualisationFiche?format=fr&amp;fiche=7531","7531")</f>
        <v>7531</v>
      </c>
      <c r="D1115" s="4" t="str">
        <f>HYPERLINK("http://www.intercariforef.org/formations/certification-84624.html","84624")</f>
        <v>84624</v>
      </c>
      <c r="E1115" s="5">
        <v>162434</v>
      </c>
      <c r="F1115" s="5" t="s">
        <v>10</v>
      </c>
      <c r="G1115" s="5" t="s">
        <v>11</v>
      </c>
      <c r="H1115" s="3" t="s">
        <v>538</v>
      </c>
    </row>
    <row r="1116" spans="1:8" ht="13.8" x14ac:dyDescent="0.25">
      <c r="A1116" s="3" t="s">
        <v>1004</v>
      </c>
      <c r="B1116" s="3" t="s">
        <v>1492</v>
      </c>
      <c r="C1116" s="4" t="str">
        <f>HYPERLINK("http://www.rncp.cncp.gouv.fr/grand-public/visualisationFiche?format=fr&amp;fiche=17362","17362")</f>
        <v>17362</v>
      </c>
      <c r="D1116" s="4" t="str">
        <f>HYPERLINK("http://www.intercariforef.org/formations/certification-79505.html","79505")</f>
        <v>79505</v>
      </c>
      <c r="E1116" s="5">
        <v>162451</v>
      </c>
      <c r="F1116" s="5" t="s">
        <v>10</v>
      </c>
      <c r="G1116" s="5" t="s">
        <v>11</v>
      </c>
      <c r="H1116" s="3" t="s">
        <v>785</v>
      </c>
    </row>
    <row r="1117" spans="1:8" ht="27.6" x14ac:dyDescent="0.25">
      <c r="A1117" s="3" t="s">
        <v>1004</v>
      </c>
      <c r="B1117" s="3" t="s">
        <v>1493</v>
      </c>
      <c r="C1117" s="4" t="str">
        <f>HYPERLINK("http://www.rncp.cncp.gouv.fr/grand-public/visualisationFiche?format=fr&amp;fiche=5358","5358")</f>
        <v>5358</v>
      </c>
      <c r="D1117" s="4" t="str">
        <f>HYPERLINK("http://www.intercariforef.org/formations/certification-55029.html","55029")</f>
        <v>55029</v>
      </c>
      <c r="E1117" s="5">
        <v>162452</v>
      </c>
      <c r="F1117" s="5" t="s">
        <v>10</v>
      </c>
      <c r="G1117" s="5" t="s">
        <v>11</v>
      </c>
      <c r="H1117" s="3" t="s">
        <v>1494</v>
      </c>
    </row>
    <row r="1118" spans="1:8" ht="27.6" x14ac:dyDescent="0.25">
      <c r="A1118" s="3" t="s">
        <v>1004</v>
      </c>
      <c r="B1118" s="3" t="s">
        <v>1495</v>
      </c>
      <c r="C1118" s="4" t="str">
        <f>HYPERLINK("http://www.rncp.cncp.gouv.fr/grand-public/visualisationFiche?format=fr&amp;fiche=13291","13291")</f>
        <v>13291</v>
      </c>
      <c r="D1118" s="4" t="str">
        <f>HYPERLINK("http://www.intercariforef.org/formations/certification-77294.html","77294")</f>
        <v>77294</v>
      </c>
      <c r="E1118" s="5">
        <v>162453</v>
      </c>
      <c r="F1118" s="5" t="s">
        <v>10</v>
      </c>
      <c r="G1118" s="5" t="s">
        <v>11</v>
      </c>
      <c r="H1118" s="3" t="s">
        <v>742</v>
      </c>
    </row>
    <row r="1119" spans="1:8" ht="13.8" x14ac:dyDescent="0.25">
      <c r="A1119" s="3" t="s">
        <v>1004</v>
      </c>
      <c r="B1119" s="3" t="s">
        <v>1496</v>
      </c>
      <c r="C1119" s="4" t="str">
        <f>HYPERLINK("http://www.rncp.cncp.gouv.fr/grand-public/visualisationFiche?format=fr&amp;fiche=3337","3337")</f>
        <v>3337</v>
      </c>
      <c r="D1119" s="4" t="str">
        <f>HYPERLINK("http://www.intercariforef.org/formations/certification-59591.html","59591")</f>
        <v>59591</v>
      </c>
      <c r="E1119" s="5">
        <v>162429</v>
      </c>
      <c r="F1119" s="5" t="s">
        <v>10</v>
      </c>
      <c r="G1119" s="5" t="s">
        <v>11</v>
      </c>
      <c r="H1119" s="3" t="s">
        <v>1300</v>
      </c>
    </row>
    <row r="1120" spans="1:8" ht="13.8" x14ac:dyDescent="0.25">
      <c r="A1120" s="3" t="s">
        <v>1004</v>
      </c>
      <c r="B1120" s="3" t="s">
        <v>1497</v>
      </c>
      <c r="C1120" s="4" t="str">
        <f>HYPERLINK("http://www.rncp.cncp.gouv.fr/grand-public/visualisationFiche?format=fr&amp;fiche=3202","3202")</f>
        <v>3202</v>
      </c>
      <c r="D1120" s="4" t="str">
        <f>HYPERLINK("http://www.intercariforef.org/formations/certification-53742.html","53742")</f>
        <v>53742</v>
      </c>
      <c r="E1120" s="5">
        <v>162420</v>
      </c>
      <c r="F1120" s="5" t="s">
        <v>10</v>
      </c>
      <c r="G1120" s="5" t="s">
        <v>11</v>
      </c>
      <c r="H1120" s="3" t="s">
        <v>1498</v>
      </c>
    </row>
    <row r="1121" spans="1:8" ht="13.8" x14ac:dyDescent="0.25">
      <c r="A1121" s="3" t="s">
        <v>1004</v>
      </c>
      <c r="B1121" s="3" t="s">
        <v>1499</v>
      </c>
      <c r="C1121" s="4" t="str">
        <f>HYPERLINK("http://www.rncp.cncp.gouv.fr/grand-public/visualisationFiche?format=fr&amp;fiche=19591","19591")</f>
        <v>19591</v>
      </c>
      <c r="D1121" s="4" t="str">
        <f>HYPERLINK("http://www.intercariforef.org/formations/certification-60176.html","60176")</f>
        <v>60176</v>
      </c>
      <c r="E1121" s="5">
        <v>131679</v>
      </c>
      <c r="F1121" s="5" t="s">
        <v>10</v>
      </c>
      <c r="G1121" s="5" t="s">
        <v>11</v>
      </c>
      <c r="H1121" s="3" t="s">
        <v>774</v>
      </c>
    </row>
    <row r="1122" spans="1:8" ht="13.8" x14ac:dyDescent="0.25">
      <c r="A1122" s="3" t="s">
        <v>1004</v>
      </c>
      <c r="B1122" s="3" t="s">
        <v>1500</v>
      </c>
      <c r="C1122" s="4" t="str">
        <f>HYPERLINK("http://www.rncp.cncp.gouv.fr/grand-public/visualisationFiche?format=fr&amp;fiche=12714","12714")</f>
        <v>12714</v>
      </c>
      <c r="D1122" s="4" t="str">
        <f>HYPERLINK("http://www.intercariforef.org/formations/certification-68862.html","68862")</f>
        <v>68862</v>
      </c>
      <c r="E1122" s="5">
        <v>162428</v>
      </c>
      <c r="F1122" s="5" t="s">
        <v>10</v>
      </c>
      <c r="G1122" s="5" t="s">
        <v>11</v>
      </c>
      <c r="H1122" s="3" t="s">
        <v>892</v>
      </c>
    </row>
    <row r="1123" spans="1:8" ht="27.6" x14ac:dyDescent="0.25">
      <c r="A1123" s="3" t="s">
        <v>1004</v>
      </c>
      <c r="B1123" s="3" t="s">
        <v>1501</v>
      </c>
      <c r="C1123" s="4" t="str">
        <f>HYPERLINK("http://www.rncp.cncp.gouv.fr/grand-public/visualisationFiche?format=fr&amp;fiche=13598","13598")</f>
        <v>13598</v>
      </c>
      <c r="D1123" s="4" t="str">
        <f>HYPERLINK("http://www.intercariforef.org/formations/certification-53790.html","53790")</f>
        <v>53790</v>
      </c>
      <c r="E1123" s="5">
        <v>162440</v>
      </c>
      <c r="F1123" s="5" t="s">
        <v>10</v>
      </c>
      <c r="G1123" s="5" t="s">
        <v>11</v>
      </c>
      <c r="H1123" s="3" t="s">
        <v>514</v>
      </c>
    </row>
    <row r="1124" spans="1:8" ht="13.8" x14ac:dyDescent="0.25">
      <c r="A1124" s="3" t="s">
        <v>1004</v>
      </c>
      <c r="B1124" s="3" t="s">
        <v>1502</v>
      </c>
      <c r="C1124" s="4" t="str">
        <f>HYPERLINK("http://www.rncp.cncp.gouv.fr/grand-public/visualisationFiche?format=fr&amp;fiche=6390","6390")</f>
        <v>6390</v>
      </c>
      <c r="D1124" s="4" t="str">
        <f>HYPERLINK("http://www.intercariforef.org/formations/certification-59995.html","59995")</f>
        <v>59995</v>
      </c>
      <c r="E1124" s="5">
        <v>162454</v>
      </c>
      <c r="F1124" s="5" t="s">
        <v>10</v>
      </c>
      <c r="G1124" s="5" t="s">
        <v>11</v>
      </c>
      <c r="H1124" s="3" t="s">
        <v>880</v>
      </c>
    </row>
    <row r="1125" spans="1:8" ht="27.6" x14ac:dyDescent="0.25">
      <c r="A1125" s="3" t="s">
        <v>1004</v>
      </c>
      <c r="B1125" s="3" t="s">
        <v>1503</v>
      </c>
      <c r="C1125" s="4" t="str">
        <f>HYPERLINK("http://www.rncp.cncp.gouv.fr/grand-public/visualisationFiche?format=fr&amp;fiche=5915","5915")</f>
        <v>5915</v>
      </c>
      <c r="D1125" s="4" t="str">
        <f>HYPERLINK("http://www.intercariforef.org/formations/certification-58761.html","58761")</f>
        <v>58761</v>
      </c>
      <c r="E1125" s="5">
        <v>162455</v>
      </c>
      <c r="F1125" s="5" t="s">
        <v>10</v>
      </c>
      <c r="G1125" s="5" t="s">
        <v>11</v>
      </c>
      <c r="H1125" s="3" t="s">
        <v>788</v>
      </c>
    </row>
    <row r="1126" spans="1:8" ht="27.6" x14ac:dyDescent="0.25">
      <c r="A1126" s="3" t="s">
        <v>1004</v>
      </c>
      <c r="B1126" s="3" t="s">
        <v>1504</v>
      </c>
      <c r="C1126" s="4" t="str">
        <f>HYPERLINK("http://www.rncp.cncp.gouv.fr/grand-public/visualisationFiche?format=fr&amp;fiche=5373","5373")</f>
        <v>5373</v>
      </c>
      <c r="D1126" s="4" t="str">
        <f>HYPERLINK("http://www.intercariforef.org/formations/certification-53739.html","53739")</f>
        <v>53739</v>
      </c>
      <c r="E1126" s="5">
        <v>162456</v>
      </c>
      <c r="F1126" s="5" t="s">
        <v>10</v>
      </c>
      <c r="G1126" s="5" t="s">
        <v>11</v>
      </c>
      <c r="H1126" s="3" t="s">
        <v>784</v>
      </c>
    </row>
    <row r="1127" spans="1:8" ht="27.6" x14ac:dyDescent="0.25">
      <c r="A1127" s="3" t="s">
        <v>1004</v>
      </c>
      <c r="B1127" s="3" t="s">
        <v>1505</v>
      </c>
      <c r="C1127" s="4" t="str">
        <f>HYPERLINK("http://www.rncp.cncp.gouv.fr/grand-public/visualisationFiche?format=fr&amp;fiche=7530","7530")</f>
        <v>7530</v>
      </c>
      <c r="D1127" s="4" t="str">
        <f>HYPERLINK("http://www.intercariforef.org/formations/certification-84131.html","84131")</f>
        <v>84131</v>
      </c>
      <c r="E1127" s="5">
        <v>162435</v>
      </c>
      <c r="F1127" s="5" t="s">
        <v>10</v>
      </c>
      <c r="G1127" s="5" t="s">
        <v>11</v>
      </c>
      <c r="H1127" s="3" t="s">
        <v>538</v>
      </c>
    </row>
    <row r="1128" spans="1:8" ht="13.8" x14ac:dyDescent="0.25">
      <c r="A1128" s="3" t="s">
        <v>1004</v>
      </c>
      <c r="B1128" s="3" t="s">
        <v>1506</v>
      </c>
      <c r="C1128" s="4" t="str">
        <f>HYPERLINK("http://www.rncp.cncp.gouv.fr/grand-public/visualisationFiche?format=fr&amp;fiche=19491","19491")</f>
        <v>19491</v>
      </c>
      <c r="D1128" s="4" t="str">
        <f>HYPERLINK("http://www.intercariforef.org/formations/certification-63109.html","63109")</f>
        <v>63109</v>
      </c>
      <c r="E1128" s="5">
        <v>17338</v>
      </c>
      <c r="F1128" s="5" t="s">
        <v>10</v>
      </c>
      <c r="G1128" s="5" t="s">
        <v>11</v>
      </c>
      <c r="H1128" s="3" t="s">
        <v>1209</v>
      </c>
    </row>
    <row r="1129" spans="1:8" ht="13.8" x14ac:dyDescent="0.25">
      <c r="A1129" s="3" t="s">
        <v>1004</v>
      </c>
      <c r="B1129" s="3" t="s">
        <v>1507</v>
      </c>
      <c r="C1129" s="4" t="str">
        <f>HYPERLINK("http://www.rncp.cncp.gouv.fr/grand-public/visualisationFiche?format=fr&amp;fiche=3904","3904")</f>
        <v>3904</v>
      </c>
      <c r="D1129" s="4" t="str">
        <f>HYPERLINK("http://www.intercariforef.org/formations/certification-53525.html","53525")</f>
        <v>53525</v>
      </c>
      <c r="E1129" s="5">
        <v>5614</v>
      </c>
      <c r="F1129" s="5" t="s">
        <v>10</v>
      </c>
      <c r="G1129" s="5" t="s">
        <v>11</v>
      </c>
      <c r="H1129" s="3" t="s">
        <v>715</v>
      </c>
    </row>
    <row r="1130" spans="1:8" ht="13.8" x14ac:dyDescent="0.25">
      <c r="A1130" s="3" t="s">
        <v>1004</v>
      </c>
      <c r="B1130" s="3" t="s">
        <v>1507</v>
      </c>
      <c r="C1130" s="4" t="str">
        <f>HYPERLINK("http://www.rncp.cncp.gouv.fr/grand-public/visualisationFiche?format=fr&amp;fiche=5211","5211")</f>
        <v>5211</v>
      </c>
      <c r="D1130" s="4" t="str">
        <f>HYPERLINK("http://www.intercariforef.org/formations/certification-49993.html","49993")</f>
        <v>49993</v>
      </c>
      <c r="E1130" s="5">
        <v>5613</v>
      </c>
      <c r="F1130" s="5" t="s">
        <v>10</v>
      </c>
      <c r="G1130" s="5" t="s">
        <v>11</v>
      </c>
      <c r="H1130" s="3" t="s">
        <v>892</v>
      </c>
    </row>
    <row r="1131" spans="1:8" ht="13.8" x14ac:dyDescent="0.25">
      <c r="A1131" s="3" t="s">
        <v>1004</v>
      </c>
      <c r="B1131" s="3" t="s">
        <v>1508</v>
      </c>
      <c r="C1131" s="4" t="str">
        <f>HYPERLINK("http://www.rncp.cncp.gouv.fr/grand-public/visualisationFiche?format=fr&amp;fiche=3888","3888")</f>
        <v>3888</v>
      </c>
      <c r="D1131" s="4" t="str">
        <f>HYPERLINK("http://www.intercariforef.org/formations/certification-64779.html","64779")</f>
        <v>64779</v>
      </c>
      <c r="E1131" s="5">
        <v>5611</v>
      </c>
      <c r="F1131" s="5" t="s">
        <v>10</v>
      </c>
      <c r="G1131" s="5" t="s">
        <v>11</v>
      </c>
      <c r="H1131" s="3" t="s">
        <v>934</v>
      </c>
    </row>
    <row r="1132" spans="1:8" ht="13.8" x14ac:dyDescent="0.25">
      <c r="A1132" s="3" t="s">
        <v>1004</v>
      </c>
      <c r="B1132" s="3" t="s">
        <v>1509</v>
      </c>
      <c r="C1132" s="4" t="str">
        <f>HYPERLINK("http://www.rncp.cncp.gouv.fr/grand-public/visualisationFiche?format=fr&amp;fiche=5810","5810")</f>
        <v>5810</v>
      </c>
      <c r="D1132" s="4" t="str">
        <f>HYPERLINK("http://www.intercariforef.org/formations/certification-55218.html","55218")</f>
        <v>55218</v>
      </c>
      <c r="E1132" s="5">
        <v>155030</v>
      </c>
      <c r="F1132" s="5" t="s">
        <v>10</v>
      </c>
      <c r="G1132" s="5" t="s">
        <v>11</v>
      </c>
      <c r="H1132" s="3" t="s">
        <v>715</v>
      </c>
    </row>
    <row r="1133" spans="1:8" ht="13.8" x14ac:dyDescent="0.25">
      <c r="A1133" s="3" t="s">
        <v>1004</v>
      </c>
      <c r="B1133" s="3" t="s">
        <v>1510</v>
      </c>
      <c r="C1133" s="4" t="str">
        <f>HYPERLINK("http://www.rncp.cncp.gouv.fr/grand-public/visualisationFiche?format=fr&amp;fiche=3870","3870")</f>
        <v>3870</v>
      </c>
      <c r="D1133" s="4" t="str">
        <f>HYPERLINK("http://www.intercariforef.org/formations/certification-55347.html","55347")</f>
        <v>55347</v>
      </c>
      <c r="E1133" s="5">
        <v>5612</v>
      </c>
      <c r="F1133" s="5" t="s">
        <v>10</v>
      </c>
      <c r="G1133" s="5" t="s">
        <v>11</v>
      </c>
      <c r="H1133" s="3" t="s">
        <v>771</v>
      </c>
    </row>
    <row r="1134" spans="1:8" ht="27.6" x14ac:dyDescent="0.25">
      <c r="A1134" s="3" t="s">
        <v>1004</v>
      </c>
      <c r="B1134" s="3" t="s">
        <v>1511</v>
      </c>
      <c r="C1134" s="4" t="str">
        <f>HYPERLINK("http://www.rncp.cncp.gouv.fr/grand-public/visualisationFiche?format=fr&amp;fiche=3828","3828")</f>
        <v>3828</v>
      </c>
      <c r="D1134" s="4" t="str">
        <f>HYPERLINK("http://www.intercariforef.org/formations/certification-42604.html","42604")</f>
        <v>42604</v>
      </c>
      <c r="E1134" s="5">
        <v>5619</v>
      </c>
      <c r="F1134" s="5" t="s">
        <v>10</v>
      </c>
      <c r="G1134" s="5" t="s">
        <v>11</v>
      </c>
      <c r="H1134" s="3" t="s">
        <v>810</v>
      </c>
    </row>
    <row r="1135" spans="1:8" ht="13.8" x14ac:dyDescent="0.25">
      <c r="A1135" s="3" t="s">
        <v>1004</v>
      </c>
      <c r="B1135" s="3" t="s">
        <v>1512</v>
      </c>
      <c r="C1135" s="4" t="str">
        <f>HYPERLINK("http://www.rncp.cncp.gouv.fr/grand-public/visualisationFiche?format=fr&amp;fiche=3885","3885")</f>
        <v>3885</v>
      </c>
      <c r="D1135" s="4" t="str">
        <f>HYPERLINK("http://www.intercariforef.org/formations/certification-62677.html","62677")</f>
        <v>62677</v>
      </c>
      <c r="E1135" s="5">
        <v>155029</v>
      </c>
      <c r="F1135" s="5" t="s">
        <v>10</v>
      </c>
      <c r="G1135" s="5" t="s">
        <v>11</v>
      </c>
      <c r="H1135" s="3" t="s">
        <v>842</v>
      </c>
    </row>
    <row r="1136" spans="1:8" ht="13.8" x14ac:dyDescent="0.25">
      <c r="A1136" s="3" t="s">
        <v>1004</v>
      </c>
      <c r="B1136" s="3" t="s">
        <v>1513</v>
      </c>
      <c r="C1136" s="4" t="str">
        <f>HYPERLINK("http://www.rncp.cncp.gouv.fr/grand-public/visualisationFiche?format=fr&amp;fiche=3900","3900")</f>
        <v>3900</v>
      </c>
      <c r="D1136" s="4" t="str">
        <f>HYPERLINK("http://www.intercariforef.org/formations/certification-17244.html","17244")</f>
        <v>17244</v>
      </c>
      <c r="E1136" s="5">
        <v>155028</v>
      </c>
      <c r="F1136" s="5" t="s">
        <v>10</v>
      </c>
      <c r="G1136" s="5" t="s">
        <v>11</v>
      </c>
      <c r="H1136" s="3" t="s">
        <v>1218</v>
      </c>
    </row>
    <row r="1137" spans="1:8" ht="27.6" x14ac:dyDescent="0.25">
      <c r="A1137" s="3" t="s">
        <v>1004</v>
      </c>
      <c r="B1137" s="3" t="s">
        <v>1514</v>
      </c>
      <c r="C1137" s="4" t="str">
        <f>HYPERLINK("http://www.rncp.cncp.gouv.fr/grand-public/visualisationFiche?format=fr&amp;fiche=15563","15563")</f>
        <v>15563</v>
      </c>
      <c r="D1137" s="4" t="str">
        <f>HYPERLINK("http://www.intercariforef.org/formations/certification-80089.html","80089")</f>
        <v>80089</v>
      </c>
      <c r="E1137" s="5">
        <v>6319</v>
      </c>
      <c r="F1137" s="5" t="s">
        <v>10</v>
      </c>
      <c r="G1137" s="5" t="s">
        <v>11</v>
      </c>
      <c r="H1137" s="3" t="s">
        <v>763</v>
      </c>
    </row>
    <row r="1138" spans="1:8" ht="27.6" x14ac:dyDescent="0.25">
      <c r="A1138" s="3" t="s">
        <v>1004</v>
      </c>
      <c r="B1138" s="3" t="s">
        <v>1515</v>
      </c>
      <c r="C1138" s="4" t="str">
        <f>HYPERLINK("http://www.rncp.cncp.gouv.fr/grand-public/visualisationFiche?format=fr&amp;fiche=5210","5210")</f>
        <v>5210</v>
      </c>
      <c r="D1138" s="4" t="str">
        <f>HYPERLINK("http://www.intercariforef.org/formations/certification-50057.html","50057")</f>
        <v>50057</v>
      </c>
      <c r="E1138" s="5">
        <v>6355</v>
      </c>
      <c r="F1138" s="5" t="s">
        <v>10</v>
      </c>
      <c r="G1138" s="5" t="s">
        <v>11</v>
      </c>
      <c r="H1138" s="3" t="s">
        <v>845</v>
      </c>
    </row>
    <row r="1139" spans="1:8" ht="27.6" x14ac:dyDescent="0.25">
      <c r="A1139" s="3" t="s">
        <v>1004</v>
      </c>
      <c r="B1139" s="3" t="s">
        <v>1516</v>
      </c>
      <c r="C1139" s="4" t="str">
        <f>HYPERLINK("http://www.rncp.cncp.gouv.fr/grand-public/visualisationFiche?format=fr&amp;fiche=5901","5901")</f>
        <v>5901</v>
      </c>
      <c r="D1139" s="4" t="str">
        <f>HYPERLINK("http://www.intercariforef.org/formations/certification-55277.html","55277")</f>
        <v>55277</v>
      </c>
      <c r="E1139" s="5">
        <v>6364</v>
      </c>
      <c r="F1139" s="5" t="s">
        <v>10</v>
      </c>
      <c r="G1139" s="5" t="s">
        <v>11</v>
      </c>
      <c r="H1139" s="3" t="s">
        <v>954</v>
      </c>
    </row>
    <row r="1140" spans="1:8" ht="27.6" x14ac:dyDescent="0.25">
      <c r="A1140" s="3" t="s">
        <v>1004</v>
      </c>
      <c r="B1140" s="3" t="s">
        <v>1517</v>
      </c>
      <c r="C1140" s="5"/>
      <c r="D1140" s="4" t="str">
        <f>HYPERLINK("http://www.intercariforef.org/formations/certification-55201.html","55201")</f>
        <v>55201</v>
      </c>
      <c r="E1140" s="5">
        <v>6356</v>
      </c>
      <c r="F1140" s="5" t="s">
        <v>10</v>
      </c>
      <c r="G1140" s="5" t="s">
        <v>11</v>
      </c>
      <c r="H1140" s="3" t="s">
        <v>810</v>
      </c>
    </row>
    <row r="1141" spans="1:8" ht="27.6" x14ac:dyDescent="0.25">
      <c r="A1141" s="3" t="s">
        <v>1004</v>
      </c>
      <c r="B1141" s="3" t="s">
        <v>1518</v>
      </c>
      <c r="C1141" s="4" t="str">
        <f>HYPERLINK("http://www.rncp.cncp.gouv.fr/grand-public/visualisationFiche?format=fr&amp;fiche=7587","7587")</f>
        <v>7587</v>
      </c>
      <c r="D1141" s="4" t="str">
        <f>HYPERLINK("http://www.intercariforef.org/formations/certification-58807.html","58807")</f>
        <v>58807</v>
      </c>
      <c r="E1141" s="5">
        <v>6384</v>
      </c>
      <c r="F1141" s="5" t="s">
        <v>10</v>
      </c>
      <c r="G1141" s="5" t="s">
        <v>11</v>
      </c>
      <c r="H1141" s="3" t="s">
        <v>850</v>
      </c>
    </row>
    <row r="1142" spans="1:8" ht="27.6" x14ac:dyDescent="0.25">
      <c r="A1142" s="3" t="s">
        <v>1004</v>
      </c>
      <c r="B1142" s="3" t="s">
        <v>1519</v>
      </c>
      <c r="C1142" s="5"/>
      <c r="D1142" s="4" t="str">
        <f>HYPERLINK("http://www.intercariforef.org/formations/certification-53775.html","53775")</f>
        <v>53775</v>
      </c>
      <c r="E1142" s="5">
        <v>6327</v>
      </c>
      <c r="F1142" s="5" t="s">
        <v>10</v>
      </c>
      <c r="G1142" s="5" t="s">
        <v>11</v>
      </c>
      <c r="H1142" s="3" t="s">
        <v>788</v>
      </c>
    </row>
    <row r="1143" spans="1:8" ht="27.6" x14ac:dyDescent="0.25">
      <c r="A1143" s="3" t="s">
        <v>1004</v>
      </c>
      <c r="B1143" s="3" t="s">
        <v>1520</v>
      </c>
      <c r="C1143" s="4" t="str">
        <f>HYPERLINK("http://www.rncp.cncp.gouv.fr/grand-public/visualisationFiche?format=fr&amp;fiche=3599","3599")</f>
        <v>3599</v>
      </c>
      <c r="D1143" s="4" t="str">
        <f>HYPERLINK("http://www.intercariforef.org/formations/certification-64782.html","64782")</f>
        <v>64782</v>
      </c>
      <c r="E1143" s="5">
        <v>6338</v>
      </c>
      <c r="F1143" s="5" t="s">
        <v>10</v>
      </c>
      <c r="G1143" s="5" t="s">
        <v>11</v>
      </c>
      <c r="H1143" s="3" t="s">
        <v>845</v>
      </c>
    </row>
    <row r="1144" spans="1:8" ht="27.6" x14ac:dyDescent="0.25">
      <c r="A1144" s="3" t="s">
        <v>1004</v>
      </c>
      <c r="B1144" s="3" t="s">
        <v>1520</v>
      </c>
      <c r="C1144" s="4" t="str">
        <f>HYPERLINK("http://www.rncp.cncp.gouv.fr/grand-public/visualisationFiche?format=fr&amp;fiche=3191","3191")</f>
        <v>3191</v>
      </c>
      <c r="D1144" s="4" t="str">
        <f>HYPERLINK("http://www.intercariforef.org/formations/certification-64781.html","64781")</f>
        <v>64781</v>
      </c>
      <c r="E1144" s="5">
        <v>6340</v>
      </c>
      <c r="F1144" s="5" t="s">
        <v>10</v>
      </c>
      <c r="G1144" s="5" t="s">
        <v>11</v>
      </c>
      <c r="H1144" s="3" t="s">
        <v>899</v>
      </c>
    </row>
    <row r="1145" spans="1:8" ht="27.6" x14ac:dyDescent="0.25">
      <c r="A1145" s="3" t="s">
        <v>1004</v>
      </c>
      <c r="B1145" s="3" t="s">
        <v>1521</v>
      </c>
      <c r="C1145" s="4" t="str">
        <f>HYPERLINK("http://www.rncp.cncp.gouv.fr/grand-public/visualisationFiche?format=fr&amp;fiche=5207","5207")</f>
        <v>5207</v>
      </c>
      <c r="D1145" s="4" t="str">
        <f>HYPERLINK("http://www.intercariforef.org/formations/certification-42607.html","42607")</f>
        <v>42607</v>
      </c>
      <c r="E1145" s="5">
        <v>6363</v>
      </c>
      <c r="F1145" s="5" t="s">
        <v>10</v>
      </c>
      <c r="G1145" s="5" t="s">
        <v>11</v>
      </c>
      <c r="H1145" s="3" t="s">
        <v>771</v>
      </c>
    </row>
    <row r="1146" spans="1:8" ht="27.6" x14ac:dyDescent="0.25">
      <c r="A1146" s="3" t="s">
        <v>1004</v>
      </c>
      <c r="B1146" s="3" t="s">
        <v>1522</v>
      </c>
      <c r="C1146" s="4" t="str">
        <f>HYPERLINK("http://www.rncp.cncp.gouv.fr/grand-public/visualisationFiche?format=fr&amp;fiche=3385","3385")</f>
        <v>3385</v>
      </c>
      <c r="D1146" s="4" t="str">
        <f>HYPERLINK("http://www.intercariforef.org/formations/certification-75006.html","75006")</f>
        <v>75006</v>
      </c>
      <c r="E1146" s="5">
        <v>17342</v>
      </c>
      <c r="F1146" s="5" t="s">
        <v>10</v>
      </c>
      <c r="G1146" s="5" t="s">
        <v>11</v>
      </c>
      <c r="H1146" s="3" t="s">
        <v>963</v>
      </c>
    </row>
    <row r="1147" spans="1:8" ht="27.6" x14ac:dyDescent="0.25">
      <c r="A1147" s="3" t="s">
        <v>1004</v>
      </c>
      <c r="B1147" s="3" t="s">
        <v>1523</v>
      </c>
      <c r="C1147" s="4" t="str">
        <f>HYPERLINK("http://www.rncp.cncp.gouv.fr/grand-public/visualisationFiche?format=fr&amp;fiche=17147","17147")</f>
        <v>17147</v>
      </c>
      <c r="D1147" s="4" t="str">
        <f>HYPERLINK("http://www.intercariforef.org/formations/certification-69100.html","69100")</f>
        <v>69100</v>
      </c>
      <c r="E1147" s="5">
        <v>6373</v>
      </c>
      <c r="F1147" s="5" t="s">
        <v>10</v>
      </c>
      <c r="G1147" s="5" t="s">
        <v>11</v>
      </c>
      <c r="H1147" s="3" t="s">
        <v>785</v>
      </c>
    </row>
    <row r="1148" spans="1:8" ht="27.6" x14ac:dyDescent="0.25">
      <c r="A1148" s="3" t="s">
        <v>1004</v>
      </c>
      <c r="B1148" s="3" t="s">
        <v>1524</v>
      </c>
      <c r="C1148" s="4" t="str">
        <f>HYPERLINK("http://www.rncp.cncp.gouv.fr/grand-public/visualisationFiche?format=fr&amp;fiche=15148","15148")</f>
        <v>15148</v>
      </c>
      <c r="D1148" s="4" t="str">
        <f>HYPERLINK("http://www.intercariforef.org/formations/certification-53601.html","53601")</f>
        <v>53601</v>
      </c>
      <c r="E1148" s="5">
        <v>6353</v>
      </c>
      <c r="F1148" s="5" t="s">
        <v>10</v>
      </c>
      <c r="G1148" s="5" t="s">
        <v>11</v>
      </c>
      <c r="H1148" s="3" t="s">
        <v>742</v>
      </c>
    </row>
    <row r="1149" spans="1:8" ht="27.6" x14ac:dyDescent="0.25">
      <c r="A1149" s="3" t="s">
        <v>1004</v>
      </c>
      <c r="B1149" s="3" t="s">
        <v>1525</v>
      </c>
      <c r="C1149" s="4" t="str">
        <f>HYPERLINK("http://www.rncp.cncp.gouv.fr/grand-public/visualisationFiche?format=fr&amp;fiche=10305","10305")</f>
        <v>10305</v>
      </c>
      <c r="D1149" s="4" t="str">
        <f>HYPERLINK("http://www.intercariforef.org/formations/certification-55232.html","55232")</f>
        <v>55232</v>
      </c>
      <c r="E1149" s="5">
        <v>3501</v>
      </c>
      <c r="F1149" s="5" t="s">
        <v>10</v>
      </c>
      <c r="G1149" s="5" t="s">
        <v>11</v>
      </c>
      <c r="H1149" s="3" t="s">
        <v>763</v>
      </c>
    </row>
    <row r="1150" spans="1:8" ht="27.6" x14ac:dyDescent="0.25">
      <c r="A1150" s="3" t="s">
        <v>1004</v>
      </c>
      <c r="B1150" s="3" t="s">
        <v>1526</v>
      </c>
      <c r="C1150" s="4" t="str">
        <f>HYPERLINK("http://www.rncp.cncp.gouv.fr/grand-public/visualisationFiche?format=fr&amp;fiche=11174","11174")</f>
        <v>11174</v>
      </c>
      <c r="D1150" s="4" t="str">
        <f>HYPERLINK("http://www.intercariforef.org/formations/certification-42610.html","42610")</f>
        <v>42610</v>
      </c>
      <c r="E1150" s="5">
        <v>6385</v>
      </c>
      <c r="F1150" s="5" t="s">
        <v>10</v>
      </c>
      <c r="G1150" s="5" t="s">
        <v>11</v>
      </c>
      <c r="H1150" s="3" t="s">
        <v>734</v>
      </c>
    </row>
    <row r="1151" spans="1:8" ht="27.6" x14ac:dyDescent="0.25">
      <c r="A1151" s="3" t="s">
        <v>1004</v>
      </c>
      <c r="B1151" s="3" t="s">
        <v>1527</v>
      </c>
      <c r="C1151" s="4" t="str">
        <f>HYPERLINK("http://www.rncp.cncp.gouv.fr/grand-public/visualisationFiche?format=fr&amp;fiche=18756","18756")</f>
        <v>18756</v>
      </c>
      <c r="D1151" s="4" t="str">
        <f>HYPERLINK("http://www.intercariforef.org/formations/certification-78523.html","78523")</f>
        <v>78523</v>
      </c>
      <c r="E1151" s="5">
        <v>6379</v>
      </c>
      <c r="F1151" s="5" t="s">
        <v>10</v>
      </c>
      <c r="G1151" s="5" t="s">
        <v>11</v>
      </c>
      <c r="H1151" s="3" t="s">
        <v>965</v>
      </c>
    </row>
    <row r="1152" spans="1:8" ht="27.6" x14ac:dyDescent="0.25">
      <c r="A1152" s="3" t="s">
        <v>1004</v>
      </c>
      <c r="B1152" s="3" t="s">
        <v>1528</v>
      </c>
      <c r="C1152" s="4" t="str">
        <f>HYPERLINK("http://www.rncp.cncp.gouv.fr/grand-public/visualisationFiche?format=fr&amp;fiche=14961","14961")</f>
        <v>14961</v>
      </c>
      <c r="D1152" s="4" t="str">
        <f>HYPERLINK("http://www.intercariforef.org/formations/certification-75123.html","75123")</f>
        <v>75123</v>
      </c>
      <c r="E1152" s="5">
        <v>155032</v>
      </c>
      <c r="F1152" s="5" t="s">
        <v>10</v>
      </c>
      <c r="G1152" s="5" t="s">
        <v>11</v>
      </c>
      <c r="H1152" s="3" t="s">
        <v>787</v>
      </c>
    </row>
    <row r="1153" spans="1:8" ht="27.6" x14ac:dyDescent="0.25">
      <c r="A1153" s="3" t="s">
        <v>1004</v>
      </c>
      <c r="B1153" s="3" t="s">
        <v>1529</v>
      </c>
      <c r="C1153" s="5"/>
      <c r="D1153" s="4" t="str">
        <f>HYPERLINK("http://www.intercariforef.org/formations/certification-64990.html","64990")</f>
        <v>64990</v>
      </c>
      <c r="E1153" s="5">
        <v>144845</v>
      </c>
      <c r="F1153" s="5" t="s">
        <v>10</v>
      </c>
      <c r="G1153" s="5" t="s">
        <v>11</v>
      </c>
      <c r="H1153" s="3" t="s">
        <v>789</v>
      </c>
    </row>
    <row r="1154" spans="1:8" ht="27.6" x14ac:dyDescent="0.25">
      <c r="A1154" s="3" t="s">
        <v>1004</v>
      </c>
      <c r="B1154" s="3" t="s">
        <v>1530</v>
      </c>
      <c r="C1154" s="4" t="str">
        <f>HYPERLINK("http://www.rncp.cncp.gouv.fr/grand-public/visualisationFiche?format=fr&amp;fiche=15139","15139")</f>
        <v>15139</v>
      </c>
      <c r="D1154" s="4" t="str">
        <f>HYPERLINK("http://www.intercariforef.org/formations/certification-64991.html","64991")</f>
        <v>64991</v>
      </c>
      <c r="E1154" s="5">
        <v>6354</v>
      </c>
      <c r="F1154" s="5" t="s">
        <v>10</v>
      </c>
      <c r="G1154" s="5" t="s">
        <v>11</v>
      </c>
      <c r="H1154" s="3" t="s">
        <v>742</v>
      </c>
    </row>
    <row r="1155" spans="1:8" ht="27.6" x14ac:dyDescent="0.25">
      <c r="A1155" s="3" t="s">
        <v>1004</v>
      </c>
      <c r="B1155" s="3" t="s">
        <v>1531</v>
      </c>
      <c r="C1155" s="4" t="str">
        <f>HYPERLINK("http://www.rncp.cncp.gouv.fr/grand-public/visualisationFiche?format=fr&amp;fiche=3789","3789")</f>
        <v>3789</v>
      </c>
      <c r="D1155" s="4" t="str">
        <f>HYPERLINK("http://www.intercariforef.org/formations/certification-59589.html","59589")</f>
        <v>59589</v>
      </c>
      <c r="E1155" s="5">
        <v>162361</v>
      </c>
      <c r="F1155" s="5" t="s">
        <v>10</v>
      </c>
      <c r="G1155" s="5" t="s">
        <v>11</v>
      </c>
      <c r="H1155" s="3" t="s">
        <v>789</v>
      </c>
    </row>
    <row r="1156" spans="1:8" ht="27.6" x14ac:dyDescent="0.25">
      <c r="A1156" s="3" t="s">
        <v>1004</v>
      </c>
      <c r="B1156" s="3" t="s">
        <v>1532</v>
      </c>
      <c r="C1156" s="5"/>
      <c r="D1156" s="4" t="str">
        <f>HYPERLINK("http://www.intercariforef.org/formations/certification-61507.html","61507")</f>
        <v>61507</v>
      </c>
      <c r="E1156" s="5">
        <v>17402</v>
      </c>
      <c r="F1156" s="5" t="s">
        <v>10</v>
      </c>
      <c r="G1156" s="5" t="s">
        <v>11</v>
      </c>
      <c r="H1156" s="3" t="s">
        <v>1281</v>
      </c>
    </row>
    <row r="1157" spans="1:8" ht="13.8" x14ac:dyDescent="0.25">
      <c r="A1157" s="3" t="s">
        <v>1004</v>
      </c>
      <c r="B1157" s="3" t="s">
        <v>1533</v>
      </c>
      <c r="C1157" s="4" t="str">
        <f>HYPERLINK("http://www.rncp.cncp.gouv.fr/grand-public/visualisationFiche?format=fr&amp;fiche=3907","3907")</f>
        <v>3907</v>
      </c>
      <c r="D1157" s="4" t="str">
        <f>HYPERLINK("http://www.intercariforef.org/formations/certification-17319.html","17319")</f>
        <v>17319</v>
      </c>
      <c r="E1157" s="5">
        <v>6422</v>
      </c>
      <c r="F1157" s="5" t="s">
        <v>10</v>
      </c>
      <c r="G1157" s="5" t="s">
        <v>11</v>
      </c>
      <c r="H1157" s="3" t="s">
        <v>779</v>
      </c>
    </row>
    <row r="1158" spans="1:8" ht="27.6" x14ac:dyDescent="0.25">
      <c r="A1158" s="3" t="s">
        <v>1004</v>
      </c>
      <c r="B1158" s="3" t="s">
        <v>1534</v>
      </c>
      <c r="C1158" s="4" t="str">
        <f>HYPERLINK("http://www.rncp.cncp.gouv.fr/grand-public/visualisationFiche?format=fr&amp;fiche=17425","17425")</f>
        <v>17425</v>
      </c>
      <c r="D1158" s="4" t="str">
        <f>HYPERLINK("http://www.intercariforef.org/formations/certification-50186.html","50186")</f>
        <v>50186</v>
      </c>
      <c r="E1158" s="5">
        <v>162362</v>
      </c>
      <c r="F1158" s="5" t="s">
        <v>10</v>
      </c>
      <c r="G1158" s="5" t="s">
        <v>11</v>
      </c>
      <c r="H1158" s="3" t="s">
        <v>813</v>
      </c>
    </row>
    <row r="1159" spans="1:8" ht="27.6" x14ac:dyDescent="0.25">
      <c r="A1159" s="3" t="s">
        <v>1004</v>
      </c>
      <c r="B1159" s="3" t="s">
        <v>1535</v>
      </c>
      <c r="C1159" s="4" t="str">
        <f>HYPERLINK("http://www.rncp.cncp.gouv.fr/grand-public/visualisationFiche?format=fr&amp;fiche=11295","11295")</f>
        <v>11295</v>
      </c>
      <c r="D1159" s="4" t="str">
        <f>HYPERLINK("http://www.intercariforef.org/formations/certification-58673.html","58673")</f>
        <v>58673</v>
      </c>
      <c r="E1159" s="5">
        <v>133934</v>
      </c>
      <c r="F1159" s="5" t="s">
        <v>10</v>
      </c>
      <c r="G1159" s="5" t="s">
        <v>11</v>
      </c>
      <c r="H1159" s="3" t="s">
        <v>758</v>
      </c>
    </row>
    <row r="1160" spans="1:8" ht="27.6" x14ac:dyDescent="0.25">
      <c r="A1160" s="3" t="s">
        <v>1004</v>
      </c>
      <c r="B1160" s="3" t="s">
        <v>1536</v>
      </c>
      <c r="C1160" s="4" t="str">
        <f>HYPERLINK("http://www.rncp.cncp.gouv.fr/grand-public/visualisationFiche?format=fr&amp;fiche=5520","5520")</f>
        <v>5520</v>
      </c>
      <c r="D1160" s="4" t="str">
        <f>HYPERLINK("http://www.intercariforef.org/formations/certification-54455.html","54455")</f>
        <v>54455</v>
      </c>
      <c r="E1160" s="5">
        <v>6467</v>
      </c>
      <c r="F1160" s="5" t="s">
        <v>10</v>
      </c>
      <c r="G1160" s="5" t="s">
        <v>11</v>
      </c>
      <c r="H1160" s="3" t="s">
        <v>963</v>
      </c>
    </row>
    <row r="1161" spans="1:8" ht="13.8" x14ac:dyDescent="0.25">
      <c r="A1161" s="3" t="s">
        <v>1004</v>
      </c>
      <c r="B1161" s="3" t="s">
        <v>1537</v>
      </c>
      <c r="C1161" s="4" t="str">
        <f>HYPERLINK("http://www.rncp.cncp.gouv.fr/grand-public/visualisationFiche?format=fr&amp;fiche=6363","6363")</f>
        <v>6363</v>
      </c>
      <c r="D1161" s="4" t="str">
        <f>HYPERLINK("http://www.intercariforef.org/formations/certification-64484.html","64484")</f>
        <v>64484</v>
      </c>
      <c r="E1161" s="5">
        <v>6496</v>
      </c>
      <c r="F1161" s="5" t="s">
        <v>10</v>
      </c>
      <c r="G1161" s="5" t="s">
        <v>11</v>
      </c>
      <c r="H1161" s="3" t="s">
        <v>736</v>
      </c>
    </row>
    <row r="1162" spans="1:8" ht="27.6" x14ac:dyDescent="0.25">
      <c r="A1162" s="3" t="s">
        <v>1004</v>
      </c>
      <c r="B1162" s="3" t="s">
        <v>1538</v>
      </c>
      <c r="C1162" s="4" t="str">
        <f>HYPERLINK("http://www.rncp.cncp.gouv.fr/grand-public/visualisationFiche?format=fr&amp;fiche=3279","3279")</f>
        <v>3279</v>
      </c>
      <c r="D1162" s="4" t="str">
        <f>HYPERLINK("http://www.intercariforef.org/formations/certification-17371.html","17371")</f>
        <v>17371</v>
      </c>
      <c r="E1162" s="5">
        <v>6466</v>
      </c>
      <c r="F1162" s="5" t="s">
        <v>10</v>
      </c>
      <c r="G1162" s="5" t="s">
        <v>11</v>
      </c>
      <c r="H1162" s="3" t="s">
        <v>934</v>
      </c>
    </row>
    <row r="1163" spans="1:8" ht="27.6" x14ac:dyDescent="0.25">
      <c r="A1163" s="3" t="s">
        <v>1004</v>
      </c>
      <c r="B1163" s="3" t="s">
        <v>1539</v>
      </c>
      <c r="C1163" s="5"/>
      <c r="D1163" s="4" t="str">
        <f>HYPERLINK("http://www.intercariforef.org/formations/certification-55503.html","55503")</f>
        <v>55503</v>
      </c>
      <c r="E1163" s="5">
        <v>6446</v>
      </c>
      <c r="F1163" s="5" t="s">
        <v>10</v>
      </c>
      <c r="G1163" s="5" t="s">
        <v>11</v>
      </c>
      <c r="H1163" s="3" t="s">
        <v>787</v>
      </c>
    </row>
    <row r="1164" spans="1:8" ht="27.6" x14ac:dyDescent="0.25">
      <c r="A1164" s="3" t="s">
        <v>1004</v>
      </c>
      <c r="B1164" s="3" t="s">
        <v>1540</v>
      </c>
      <c r="C1164" s="4" t="str">
        <f>HYPERLINK("http://www.rncp.cncp.gouv.fr/grand-public/visualisationFiche?format=fr&amp;fiche=3298","3298")</f>
        <v>3298</v>
      </c>
      <c r="D1164" s="4" t="str">
        <f>HYPERLINK("http://www.intercariforef.org/formations/certification-42635.html","42635")</f>
        <v>42635</v>
      </c>
      <c r="E1164" s="5">
        <v>6448</v>
      </c>
      <c r="F1164" s="5" t="s">
        <v>10</v>
      </c>
      <c r="G1164" s="5" t="s">
        <v>11</v>
      </c>
      <c r="H1164" s="3" t="s">
        <v>965</v>
      </c>
    </row>
    <row r="1165" spans="1:8" ht="27.6" x14ac:dyDescent="0.25">
      <c r="A1165" s="3" t="s">
        <v>1004</v>
      </c>
      <c r="B1165" s="3" t="s">
        <v>1541</v>
      </c>
      <c r="C1165" s="4" t="str">
        <f>HYPERLINK("http://www.rncp.cncp.gouv.fr/grand-public/visualisationFiche?format=fr&amp;fiche=6313","6313")</f>
        <v>6313</v>
      </c>
      <c r="D1165" s="4" t="str">
        <f>HYPERLINK("http://www.intercariforef.org/formations/certification-58099.html","58099")</f>
        <v>58099</v>
      </c>
      <c r="E1165" s="5">
        <v>162486</v>
      </c>
      <c r="F1165" s="5" t="s">
        <v>10</v>
      </c>
      <c r="G1165" s="5" t="s">
        <v>11</v>
      </c>
      <c r="H1165" s="3" t="s">
        <v>954</v>
      </c>
    </row>
    <row r="1166" spans="1:8" ht="27.6" x14ac:dyDescent="0.25">
      <c r="A1166" s="3" t="s">
        <v>1004</v>
      </c>
      <c r="B1166" s="3" t="s">
        <v>1542</v>
      </c>
      <c r="C1166" s="4" t="str">
        <f>HYPERLINK("http://www.rncp.cncp.gouv.fr/grand-public/visualisationFiche?format=fr&amp;fiche=4440","4440")</f>
        <v>4440</v>
      </c>
      <c r="D1166" s="4" t="str">
        <f>HYPERLINK("http://www.intercariforef.org/formations/certification-17382.html","17382")</f>
        <v>17382</v>
      </c>
      <c r="E1166" s="5">
        <v>162363</v>
      </c>
      <c r="F1166" s="5" t="s">
        <v>10</v>
      </c>
      <c r="G1166" s="5" t="s">
        <v>11</v>
      </c>
      <c r="H1166" s="3" t="s">
        <v>1163</v>
      </c>
    </row>
    <row r="1167" spans="1:8" ht="13.8" x14ac:dyDescent="0.25">
      <c r="A1167" s="3" t="s">
        <v>1004</v>
      </c>
      <c r="B1167" s="3" t="s">
        <v>1543</v>
      </c>
      <c r="C1167" s="4" t="str">
        <f>HYPERLINK("http://www.rncp.cncp.gouv.fr/grand-public/visualisationFiche?format=fr&amp;fiche=13275","13275")</f>
        <v>13275</v>
      </c>
      <c r="D1167" s="4" t="str">
        <f>HYPERLINK("http://www.intercariforef.org/formations/certification-63166.html","63166")</f>
        <v>63166</v>
      </c>
      <c r="E1167" s="5">
        <v>162364</v>
      </c>
      <c r="F1167" s="5" t="s">
        <v>10</v>
      </c>
      <c r="G1167" s="5" t="s">
        <v>11</v>
      </c>
      <c r="H1167" s="3" t="s">
        <v>742</v>
      </c>
    </row>
    <row r="1168" spans="1:8" ht="13.8" x14ac:dyDescent="0.25">
      <c r="A1168" s="3" t="s">
        <v>1004</v>
      </c>
      <c r="B1168" s="3" t="s">
        <v>1544</v>
      </c>
      <c r="C1168" s="4" t="str">
        <f>HYPERLINK("http://www.rncp.cncp.gouv.fr/grand-public/visualisationFiche?format=fr&amp;fiche=17464","17464")</f>
        <v>17464</v>
      </c>
      <c r="D1168" s="4" t="str">
        <f>HYPERLINK("http://www.intercariforef.org/formations/certification-78638.html","78638")</f>
        <v>78638</v>
      </c>
      <c r="E1168" s="5">
        <v>6623</v>
      </c>
      <c r="F1168" s="5" t="s">
        <v>10</v>
      </c>
      <c r="G1168" s="5" t="s">
        <v>11</v>
      </c>
      <c r="H1168" s="3" t="s">
        <v>813</v>
      </c>
    </row>
    <row r="1169" spans="1:8" ht="13.8" x14ac:dyDescent="0.25">
      <c r="A1169" s="3" t="s">
        <v>1004</v>
      </c>
      <c r="B1169" s="3" t="s">
        <v>1545</v>
      </c>
      <c r="C1169" s="4" t="str">
        <f>HYPERLINK("http://www.rncp.cncp.gouv.fr/grand-public/visualisationFiche?format=fr&amp;fiche=3894","3894")</f>
        <v>3894</v>
      </c>
      <c r="D1169" s="4" t="str">
        <f>HYPERLINK("http://www.intercariforef.org/formations/certification-42663.html","42663")</f>
        <v>42663</v>
      </c>
      <c r="E1169" s="5">
        <v>17416</v>
      </c>
      <c r="F1169" s="5" t="s">
        <v>10</v>
      </c>
      <c r="G1169" s="5" t="s">
        <v>11</v>
      </c>
      <c r="H1169" s="3" t="s">
        <v>786</v>
      </c>
    </row>
    <row r="1170" spans="1:8" ht="13.8" x14ac:dyDescent="0.25">
      <c r="A1170" s="3" t="s">
        <v>1004</v>
      </c>
      <c r="B1170" s="3" t="s">
        <v>1546</v>
      </c>
      <c r="C1170" s="4" t="str">
        <f>HYPERLINK("http://www.rncp.cncp.gouv.fr/grand-public/visualisationFiche?format=fr&amp;fiche=5208","5208")</f>
        <v>5208</v>
      </c>
      <c r="D1170" s="4" t="str">
        <f>HYPERLINK("http://www.intercariforef.org/formations/certification-17446.html","17446")</f>
        <v>17446</v>
      </c>
      <c r="E1170" s="5">
        <v>6620</v>
      </c>
      <c r="F1170" s="5" t="s">
        <v>10</v>
      </c>
      <c r="G1170" s="5" t="s">
        <v>11</v>
      </c>
      <c r="H1170" s="3" t="s">
        <v>771</v>
      </c>
    </row>
    <row r="1171" spans="1:8" ht="13.8" x14ac:dyDescent="0.25">
      <c r="A1171" s="3" t="s">
        <v>1004</v>
      </c>
      <c r="B1171" s="3" t="s">
        <v>1547</v>
      </c>
      <c r="C1171" s="4" t="str">
        <f>HYPERLINK("http://www.rncp.cncp.gouv.fr/grand-public/visualisationFiche?format=fr&amp;fiche=5820","5820")</f>
        <v>5820</v>
      </c>
      <c r="D1171" s="4" t="str">
        <f>HYPERLINK("http://www.intercariforef.org/formations/certification-55306.html","55306")</f>
        <v>55306</v>
      </c>
      <c r="E1171" s="5">
        <v>6622</v>
      </c>
      <c r="F1171" s="5" t="s">
        <v>10</v>
      </c>
      <c r="G1171" s="5" t="s">
        <v>11</v>
      </c>
      <c r="H1171" s="3" t="s">
        <v>1281</v>
      </c>
    </row>
    <row r="1172" spans="1:8" ht="27.6" x14ac:dyDescent="0.25">
      <c r="A1172" s="3" t="s">
        <v>1004</v>
      </c>
      <c r="B1172" s="3" t="s">
        <v>1548</v>
      </c>
      <c r="C1172" s="4" t="str">
        <f>HYPERLINK("http://www.rncp.cncp.gouv.fr/grand-public/visualisationFiche?format=fr&amp;fiche=3755","3755")</f>
        <v>3755</v>
      </c>
      <c r="D1172" s="4" t="str">
        <f>HYPERLINK("http://www.intercariforef.org/formations/certification-55245.html","55245")</f>
        <v>55245</v>
      </c>
      <c r="E1172" s="5">
        <v>6752</v>
      </c>
      <c r="F1172" s="5" t="s">
        <v>10</v>
      </c>
      <c r="G1172" s="5" t="s">
        <v>11</v>
      </c>
      <c r="H1172" s="3" t="s">
        <v>774</v>
      </c>
    </row>
    <row r="1173" spans="1:8" ht="13.8" x14ac:dyDescent="0.25">
      <c r="A1173" s="3" t="s">
        <v>1004</v>
      </c>
      <c r="B1173" s="3" t="s">
        <v>1549</v>
      </c>
      <c r="C1173" s="4" t="str">
        <f>HYPERLINK("http://www.rncp.cncp.gouv.fr/grand-public/visualisationFiche?format=fr&amp;fiche=5521","5521")</f>
        <v>5521</v>
      </c>
      <c r="D1173" s="4" t="str">
        <f>HYPERLINK("http://www.intercariforef.org/formations/certification-54454.html","54454")</f>
        <v>54454</v>
      </c>
      <c r="E1173" s="5">
        <v>6624</v>
      </c>
      <c r="F1173" s="5" t="s">
        <v>10</v>
      </c>
      <c r="G1173" s="5" t="s">
        <v>11</v>
      </c>
      <c r="H1173" s="3" t="s">
        <v>963</v>
      </c>
    </row>
    <row r="1174" spans="1:8" ht="27.6" x14ac:dyDescent="0.25">
      <c r="A1174" s="3" t="s">
        <v>1004</v>
      </c>
      <c r="B1174" s="3" t="s">
        <v>1550</v>
      </c>
      <c r="C1174" s="5"/>
      <c r="D1174" s="4" t="str">
        <f>HYPERLINK("http://www.intercariforef.org/formations/certification-55181.html","55181")</f>
        <v>55181</v>
      </c>
      <c r="E1174" s="5">
        <v>6619</v>
      </c>
      <c r="F1174" s="5" t="s">
        <v>10</v>
      </c>
      <c r="G1174" s="5" t="s">
        <v>11</v>
      </c>
      <c r="H1174" s="3" t="s">
        <v>786</v>
      </c>
    </row>
    <row r="1175" spans="1:8" ht="27.6" x14ac:dyDescent="0.25">
      <c r="A1175" s="3" t="s">
        <v>1004</v>
      </c>
      <c r="B1175" s="3" t="s">
        <v>1551</v>
      </c>
      <c r="C1175" s="4" t="str">
        <f>HYPERLINK("http://www.rncp.cncp.gouv.fr/grand-public/visualisationFiche?format=fr&amp;fiche=15133","15133")</f>
        <v>15133</v>
      </c>
      <c r="D1175" s="4" t="str">
        <f>HYPERLINK("http://www.intercariforef.org/formations/certification-78986.html","78986")</f>
        <v>78986</v>
      </c>
      <c r="E1175" s="5">
        <v>6651</v>
      </c>
      <c r="F1175" s="5" t="s">
        <v>10</v>
      </c>
      <c r="G1175" s="5" t="s">
        <v>11</v>
      </c>
      <c r="H1175" s="3" t="s">
        <v>34</v>
      </c>
    </row>
    <row r="1176" spans="1:8" ht="13.8" x14ac:dyDescent="0.25">
      <c r="A1176" s="3" t="s">
        <v>1004</v>
      </c>
      <c r="B1176" s="3" t="s">
        <v>1552</v>
      </c>
      <c r="C1176" s="4" t="str">
        <f>HYPERLINK("http://www.rncp.cncp.gouv.fr/grand-public/visualisationFiche?format=fr&amp;fiche=11297","11297")</f>
        <v>11297</v>
      </c>
      <c r="D1176" s="4" t="str">
        <f>HYPERLINK("http://www.intercariforef.org/formations/certification-71422.html","71422")</f>
        <v>71422</v>
      </c>
      <c r="E1176" s="5">
        <v>6557</v>
      </c>
      <c r="F1176" s="5" t="s">
        <v>10</v>
      </c>
      <c r="G1176" s="5" t="s">
        <v>11</v>
      </c>
      <c r="H1176" s="3" t="s">
        <v>758</v>
      </c>
    </row>
    <row r="1177" spans="1:8" ht="13.8" x14ac:dyDescent="0.25">
      <c r="A1177" s="3" t="s">
        <v>1004</v>
      </c>
      <c r="B1177" s="3" t="s">
        <v>1553</v>
      </c>
      <c r="C1177" s="4" t="str">
        <f>HYPERLINK("http://www.rncp.cncp.gouv.fr/grand-public/visualisationFiche?format=fr&amp;fiche=16572","16572")</f>
        <v>16572</v>
      </c>
      <c r="D1177" s="4" t="str">
        <f>HYPERLINK("http://www.intercariforef.org/formations/certification-78642.html","78642")</f>
        <v>78642</v>
      </c>
      <c r="E1177" s="5">
        <v>6652</v>
      </c>
      <c r="F1177" s="5" t="s">
        <v>10</v>
      </c>
      <c r="G1177" s="5" t="s">
        <v>11</v>
      </c>
      <c r="H1177" s="3" t="s">
        <v>813</v>
      </c>
    </row>
    <row r="1178" spans="1:8" ht="27.6" x14ac:dyDescent="0.25">
      <c r="A1178" s="3" t="s">
        <v>1004</v>
      </c>
      <c r="B1178" s="3" t="s">
        <v>1554</v>
      </c>
      <c r="C1178" s="4" t="str">
        <f>HYPERLINK("http://www.rncp.cncp.gouv.fr/grand-public/visualisationFiche?format=fr&amp;fiche=4292","4292")</f>
        <v>4292</v>
      </c>
      <c r="D1178" s="4" t="str">
        <f>HYPERLINK("http://www.intercariforef.org/formations/certification-42662.html","42662")</f>
        <v>42662</v>
      </c>
      <c r="E1178" s="5">
        <v>6717</v>
      </c>
      <c r="F1178" s="5" t="s">
        <v>10</v>
      </c>
      <c r="G1178" s="5" t="s">
        <v>11</v>
      </c>
      <c r="H1178" s="3" t="s">
        <v>734</v>
      </c>
    </row>
    <row r="1179" spans="1:8" ht="13.8" x14ac:dyDescent="0.25">
      <c r="A1179" s="3" t="s">
        <v>1004</v>
      </c>
      <c r="B1179" s="3" t="s">
        <v>1555</v>
      </c>
      <c r="C1179" s="5"/>
      <c r="D1179" s="4" t="str">
        <f>HYPERLINK("http://www.intercariforef.org/formations/certification-60902.html","60902")</f>
        <v>60902</v>
      </c>
      <c r="E1179" s="5">
        <v>17413</v>
      </c>
      <c r="F1179" s="5" t="s">
        <v>10</v>
      </c>
      <c r="G1179" s="5" t="s">
        <v>11</v>
      </c>
      <c r="H1179" s="3" t="s">
        <v>1045</v>
      </c>
    </row>
    <row r="1180" spans="1:8" ht="13.8" x14ac:dyDescent="0.25">
      <c r="A1180" s="3" t="s">
        <v>1004</v>
      </c>
      <c r="B1180" s="3" t="s">
        <v>1556</v>
      </c>
      <c r="C1180" s="5"/>
      <c r="D1180" s="4" t="str">
        <f>HYPERLINK("http://www.intercariforef.org/formations/certification-55308.html","55308")</f>
        <v>55308</v>
      </c>
      <c r="E1180" s="5">
        <v>6617</v>
      </c>
      <c r="F1180" s="5" t="s">
        <v>10</v>
      </c>
      <c r="G1180" s="5" t="s">
        <v>11</v>
      </c>
      <c r="H1180" s="3" t="s">
        <v>1281</v>
      </c>
    </row>
    <row r="1181" spans="1:8" ht="13.8" x14ac:dyDescent="0.25">
      <c r="A1181" s="3" t="s">
        <v>1004</v>
      </c>
      <c r="B1181" s="3" t="s">
        <v>1557</v>
      </c>
      <c r="C1181" s="4" t="str">
        <f>HYPERLINK("http://www.rncp.cncp.gouv.fr/grand-public/visualisationFiche?format=fr&amp;fiche=3204","3204")</f>
        <v>3204</v>
      </c>
      <c r="D1181" s="4" t="str">
        <f>HYPERLINK("http://www.intercariforef.org/formations/certification-17463.html","17463")</f>
        <v>17463</v>
      </c>
      <c r="E1181" s="5">
        <v>6618</v>
      </c>
      <c r="F1181" s="5" t="s">
        <v>10</v>
      </c>
      <c r="G1181" s="5" t="s">
        <v>11</v>
      </c>
      <c r="H1181" s="3" t="s">
        <v>771</v>
      </c>
    </row>
    <row r="1182" spans="1:8" ht="13.8" x14ac:dyDescent="0.25">
      <c r="A1182" s="3" t="s">
        <v>1004</v>
      </c>
      <c r="B1182" s="3" t="s">
        <v>1558</v>
      </c>
      <c r="C1182" s="4" t="str">
        <f>HYPERLINK("http://www.rncp.cncp.gouv.fr/grand-public/visualisationFiche?format=fr&amp;fiche=4291","4291")</f>
        <v>4291</v>
      </c>
      <c r="D1182" s="4" t="str">
        <f>HYPERLINK("http://www.intercariforef.org/formations/certification-42664.html","42664")</f>
        <v>42664</v>
      </c>
      <c r="E1182" s="5">
        <v>131701</v>
      </c>
      <c r="F1182" s="5" t="s">
        <v>10</v>
      </c>
      <c r="G1182" s="5" t="s">
        <v>11</v>
      </c>
      <c r="H1182" s="3" t="s">
        <v>734</v>
      </c>
    </row>
    <row r="1183" spans="1:8" ht="13.8" x14ac:dyDescent="0.25">
      <c r="A1183" s="3" t="s">
        <v>1004</v>
      </c>
      <c r="B1183" s="3" t="s">
        <v>1559</v>
      </c>
      <c r="C1183" s="5"/>
      <c r="D1183" s="4" t="str">
        <f>HYPERLINK("http://www.intercariforef.org/formations/certification-17461.html","17461")</f>
        <v>17461</v>
      </c>
      <c r="E1183" s="5">
        <v>144846</v>
      </c>
      <c r="F1183" s="5" t="s">
        <v>10</v>
      </c>
      <c r="G1183" s="5" t="s">
        <v>11</v>
      </c>
      <c r="H1183" s="3" t="s">
        <v>809</v>
      </c>
    </row>
    <row r="1184" spans="1:8" ht="13.8" x14ac:dyDescent="0.25">
      <c r="A1184" s="3" t="s">
        <v>1004</v>
      </c>
      <c r="B1184" s="3" t="s">
        <v>1560</v>
      </c>
      <c r="C1184" s="5"/>
      <c r="D1184" s="4" t="str">
        <f>HYPERLINK("http://www.intercariforef.org/formations/certification-63306.html","63306")</f>
        <v>63306</v>
      </c>
      <c r="E1184" s="5">
        <v>17418</v>
      </c>
      <c r="F1184" s="5" t="s">
        <v>10</v>
      </c>
      <c r="G1184" s="5" t="s">
        <v>11</v>
      </c>
      <c r="H1184" s="3" t="s">
        <v>1163</v>
      </c>
    </row>
    <row r="1185" spans="1:8" ht="13.8" x14ac:dyDescent="0.25">
      <c r="A1185" s="3" t="s">
        <v>1004</v>
      </c>
      <c r="B1185" s="3" t="s">
        <v>1561</v>
      </c>
      <c r="C1185" s="4" t="str">
        <f>HYPERLINK("http://www.rncp.cncp.gouv.fr/grand-public/visualisationFiche?format=fr&amp;fiche=3543","3543")</f>
        <v>3543</v>
      </c>
      <c r="D1185" s="4" t="str">
        <f>HYPERLINK("http://www.intercariforef.org/formations/certification-58678.html","58678")</f>
        <v>58678</v>
      </c>
      <c r="E1185" s="5">
        <v>131746</v>
      </c>
      <c r="F1185" s="5" t="s">
        <v>10</v>
      </c>
      <c r="G1185" s="5" t="s">
        <v>11</v>
      </c>
      <c r="H1185" s="3" t="s">
        <v>713</v>
      </c>
    </row>
    <row r="1186" spans="1:8" ht="13.8" x14ac:dyDescent="0.25">
      <c r="A1186" s="3" t="s">
        <v>1004</v>
      </c>
      <c r="B1186" s="3" t="s">
        <v>1562</v>
      </c>
      <c r="C1186" s="4" t="str">
        <f>HYPERLINK("http://www.rncp.cncp.gouv.fr/grand-public/visualisationFiche?format=fr&amp;fiche=3229","3229")</f>
        <v>3229</v>
      </c>
      <c r="D1186" s="4" t="str">
        <f>HYPERLINK("http://www.intercariforef.org/formations/certification-16473.html","16473")</f>
        <v>16473</v>
      </c>
      <c r="E1186" s="5">
        <v>19282</v>
      </c>
      <c r="F1186" s="5" t="s">
        <v>10</v>
      </c>
      <c r="G1186" s="5" t="s">
        <v>11</v>
      </c>
      <c r="H1186" s="3" t="s">
        <v>734</v>
      </c>
    </row>
    <row r="1187" spans="1:8" ht="27.6" x14ac:dyDescent="0.25">
      <c r="A1187" s="3" t="s">
        <v>1004</v>
      </c>
      <c r="B1187" s="3" t="s">
        <v>1563</v>
      </c>
      <c r="C1187" s="4" t="str">
        <f>HYPERLINK("http://www.rncp.cncp.gouv.fr/grand-public/visualisationFiche?format=fr&amp;fiche=3430","3430")</f>
        <v>3430</v>
      </c>
      <c r="D1187" s="4" t="str">
        <f>HYPERLINK("http://www.intercariforef.org/formations/certification-17526.html","17526")</f>
        <v>17526</v>
      </c>
      <c r="E1187" s="5">
        <v>131699</v>
      </c>
      <c r="F1187" s="5" t="s">
        <v>10</v>
      </c>
      <c r="G1187" s="5" t="s">
        <v>11</v>
      </c>
      <c r="H1187" s="3" t="s">
        <v>1209</v>
      </c>
    </row>
    <row r="1188" spans="1:8" ht="27.6" x14ac:dyDescent="0.25">
      <c r="A1188" s="3" t="s">
        <v>1004</v>
      </c>
      <c r="B1188" s="3" t="s">
        <v>1564</v>
      </c>
      <c r="C1188" s="4" t="str">
        <f>HYPERLINK("http://www.rncp.cncp.gouv.fr/grand-public/visualisationFiche?format=fr&amp;fiche=17470","17470")</f>
        <v>17470</v>
      </c>
      <c r="D1188" s="4" t="str">
        <f>HYPERLINK("http://www.intercariforef.org/formations/certification-55085.html","55085")</f>
        <v>55085</v>
      </c>
      <c r="E1188" s="5">
        <v>131694</v>
      </c>
      <c r="F1188" s="5" t="s">
        <v>10</v>
      </c>
      <c r="G1188" s="5" t="s">
        <v>11</v>
      </c>
      <c r="H1188" s="3" t="s">
        <v>813</v>
      </c>
    </row>
    <row r="1189" spans="1:8" ht="27.6" x14ac:dyDescent="0.25">
      <c r="A1189" s="3" t="s">
        <v>1004</v>
      </c>
      <c r="B1189" s="3" t="s">
        <v>1565</v>
      </c>
      <c r="C1189" s="4" t="str">
        <f>HYPERLINK("http://www.rncp.cncp.gouv.fr/grand-public/visualisationFiche?format=fr&amp;fiche=10306","10306")</f>
        <v>10306</v>
      </c>
      <c r="D1189" s="4" t="str">
        <f>HYPERLINK("http://www.intercariforef.org/formations/certification-57191.html","57191")</f>
        <v>57191</v>
      </c>
      <c r="E1189" s="5">
        <v>6710</v>
      </c>
      <c r="F1189" s="5" t="s">
        <v>10</v>
      </c>
      <c r="G1189" s="5" t="s">
        <v>11</v>
      </c>
      <c r="H1189" s="3" t="s">
        <v>763</v>
      </c>
    </row>
    <row r="1190" spans="1:8" ht="27.6" x14ac:dyDescent="0.25">
      <c r="A1190" s="3" t="s">
        <v>1004</v>
      </c>
      <c r="B1190" s="3" t="s">
        <v>1566</v>
      </c>
      <c r="C1190" s="4" t="str">
        <f>HYPERLINK("http://www.rncp.cncp.gouv.fr/grand-public/visualisationFiche?format=fr&amp;fiche=18672","18672")</f>
        <v>18672</v>
      </c>
      <c r="D1190" s="4" t="str">
        <f>HYPERLINK("http://www.intercariforef.org/formations/certification-82115.html","82115")</f>
        <v>82115</v>
      </c>
      <c r="E1190" s="5">
        <v>6730</v>
      </c>
      <c r="F1190" s="5" t="s">
        <v>10</v>
      </c>
      <c r="G1190" s="5" t="s">
        <v>11</v>
      </c>
      <c r="H1190" s="3" t="s">
        <v>731</v>
      </c>
    </row>
    <row r="1191" spans="1:8" ht="27.6" x14ac:dyDescent="0.25">
      <c r="A1191" s="3" t="s">
        <v>1004</v>
      </c>
      <c r="B1191" s="3" t="s">
        <v>1567</v>
      </c>
      <c r="C1191" s="4" t="str">
        <f>HYPERLINK("http://www.rncp.cncp.gouv.fr/grand-public/visualisationFiche?format=fr&amp;fiche=4705","4705")</f>
        <v>4705</v>
      </c>
      <c r="D1191" s="4" t="str">
        <f>HYPERLINK("http://www.intercariforef.org/formations/certification-79816.html","79816")</f>
        <v>79816</v>
      </c>
      <c r="E1191" s="5">
        <v>17423</v>
      </c>
      <c r="F1191" s="5" t="s">
        <v>10</v>
      </c>
      <c r="G1191" s="5" t="s">
        <v>11</v>
      </c>
      <c r="H1191" s="3" t="s">
        <v>750</v>
      </c>
    </row>
    <row r="1192" spans="1:8" ht="27.6" x14ac:dyDescent="0.25">
      <c r="A1192" s="3" t="s">
        <v>1004</v>
      </c>
      <c r="B1192" s="3" t="s">
        <v>1568</v>
      </c>
      <c r="C1192" s="4" t="str">
        <f>HYPERLINK("http://www.rncp.cncp.gouv.fr/grand-public/visualisationFiche?format=fr&amp;fiche=10308","10308")</f>
        <v>10308</v>
      </c>
      <c r="D1192" s="4" t="str">
        <f>HYPERLINK("http://www.intercariforef.org/formations/certification-64199.html","64199")</f>
        <v>64199</v>
      </c>
      <c r="E1192" s="5">
        <v>6715</v>
      </c>
      <c r="F1192" s="5" t="s">
        <v>10</v>
      </c>
      <c r="G1192" s="5" t="s">
        <v>11</v>
      </c>
      <c r="H1192" s="3" t="s">
        <v>763</v>
      </c>
    </row>
    <row r="1193" spans="1:8" ht="27.6" x14ac:dyDescent="0.25">
      <c r="A1193" s="3" t="s">
        <v>1004</v>
      </c>
      <c r="B1193" s="3" t="s">
        <v>1569</v>
      </c>
      <c r="C1193" s="4" t="str">
        <f>HYPERLINK("http://www.rncp.cncp.gouv.fr/grand-public/visualisationFiche?format=fr&amp;fiche=15548","15548")</f>
        <v>15548</v>
      </c>
      <c r="D1193" s="4" t="str">
        <f>HYPERLINK("http://www.intercariforef.org/formations/certification-68845.html","68845")</f>
        <v>68845</v>
      </c>
      <c r="E1193" s="5">
        <v>6731</v>
      </c>
      <c r="F1193" s="5" t="s">
        <v>10</v>
      </c>
      <c r="G1193" s="5" t="s">
        <v>11</v>
      </c>
      <c r="H1193" s="3" t="s">
        <v>776</v>
      </c>
    </row>
    <row r="1194" spans="1:8" ht="27.6" x14ac:dyDescent="0.25">
      <c r="A1194" s="3" t="s">
        <v>1004</v>
      </c>
      <c r="B1194" s="3" t="s">
        <v>1570</v>
      </c>
      <c r="C1194" s="5"/>
      <c r="D1194" s="4" t="str">
        <f>HYPERLINK("http://www.intercariforef.org/formations/certification-77855.html","77855")</f>
        <v>77855</v>
      </c>
      <c r="E1194" s="5">
        <v>17421</v>
      </c>
      <c r="F1194" s="5" t="s">
        <v>10</v>
      </c>
      <c r="G1194" s="5" t="s">
        <v>11</v>
      </c>
      <c r="H1194" s="3" t="s">
        <v>758</v>
      </c>
    </row>
    <row r="1195" spans="1:8" ht="27.6" x14ac:dyDescent="0.25">
      <c r="A1195" s="3" t="s">
        <v>1004</v>
      </c>
      <c r="B1195" s="3" t="s">
        <v>1571</v>
      </c>
      <c r="C1195" s="4" t="str">
        <f>HYPERLINK("http://www.rncp.cncp.gouv.fr/grand-public/visualisationFiche?format=fr&amp;fiche=5272","5272")</f>
        <v>5272</v>
      </c>
      <c r="D1195" s="4" t="str">
        <f>HYPERLINK("http://www.intercariforef.org/formations/certification-50095.html","50095")</f>
        <v>50095</v>
      </c>
      <c r="E1195" s="5">
        <v>6735</v>
      </c>
      <c r="F1195" s="5" t="s">
        <v>10</v>
      </c>
      <c r="G1195" s="5" t="s">
        <v>11</v>
      </c>
      <c r="H1195" s="3" t="s">
        <v>934</v>
      </c>
    </row>
    <row r="1196" spans="1:8" ht="27.6" x14ac:dyDescent="0.25">
      <c r="A1196" s="3" t="s">
        <v>1004</v>
      </c>
      <c r="B1196" s="3" t="s">
        <v>1572</v>
      </c>
      <c r="C1196" s="5"/>
      <c r="D1196" s="4" t="str">
        <f>HYPERLINK("http://www.intercariforef.org/formations/certification-79164.html","79164")</f>
        <v>79164</v>
      </c>
      <c r="E1196" s="5">
        <v>17422</v>
      </c>
      <c r="F1196" s="5" t="s">
        <v>10</v>
      </c>
      <c r="G1196" s="5" t="s">
        <v>11</v>
      </c>
      <c r="H1196" s="3" t="s">
        <v>850</v>
      </c>
    </row>
    <row r="1197" spans="1:8" ht="13.8" x14ac:dyDescent="0.25">
      <c r="A1197" s="3" t="s">
        <v>1004</v>
      </c>
      <c r="B1197" s="3" t="s">
        <v>1573</v>
      </c>
      <c r="C1197" s="5"/>
      <c r="D1197" s="4" t="str">
        <f>HYPERLINK("http://www.intercariforef.org/formations/certification-53819.html","53819")</f>
        <v>53819</v>
      </c>
      <c r="E1197" s="5">
        <v>131700</v>
      </c>
      <c r="F1197" s="5" t="s">
        <v>10</v>
      </c>
      <c r="G1197" s="5" t="s">
        <v>11</v>
      </c>
      <c r="H1197" s="3" t="s">
        <v>965</v>
      </c>
    </row>
    <row r="1198" spans="1:8" ht="27.6" x14ac:dyDescent="0.25">
      <c r="A1198" s="3" t="s">
        <v>1004</v>
      </c>
      <c r="B1198" s="3" t="s">
        <v>1574</v>
      </c>
      <c r="C1198" s="4" t="str">
        <f>HYPERLINK("http://www.rncp.cncp.gouv.fr/grand-public/visualisationFiche?format=fr&amp;fiche=17417","17417")</f>
        <v>17417</v>
      </c>
      <c r="D1198" s="4" t="str">
        <f>HYPERLINK("http://www.intercariforef.org/formations/certification-84659.html","84659")</f>
        <v>84659</v>
      </c>
      <c r="E1198" s="5">
        <v>155040</v>
      </c>
      <c r="F1198" s="5" t="s">
        <v>10</v>
      </c>
      <c r="G1198" s="5" t="s">
        <v>11</v>
      </c>
      <c r="H1198" s="3" t="s">
        <v>514</v>
      </c>
    </row>
    <row r="1199" spans="1:8" ht="13.8" x14ac:dyDescent="0.25">
      <c r="A1199" s="3" t="s">
        <v>1004</v>
      </c>
      <c r="B1199" s="3" t="s">
        <v>1575</v>
      </c>
      <c r="C1199" s="5"/>
      <c r="D1199" s="4" t="str">
        <f>HYPERLINK("http://www.intercariforef.org/formations/certification-60125.html","60125")</f>
        <v>60125</v>
      </c>
      <c r="E1199" s="5">
        <v>5164</v>
      </c>
      <c r="F1199" s="5" t="s">
        <v>10</v>
      </c>
      <c r="G1199" s="5" t="s">
        <v>11</v>
      </c>
      <c r="H1199" s="3" t="s">
        <v>733</v>
      </c>
    </row>
    <row r="1200" spans="1:8" ht="13.8" x14ac:dyDescent="0.25">
      <c r="A1200" s="3" t="s">
        <v>1004</v>
      </c>
      <c r="B1200" s="3" t="s">
        <v>1576</v>
      </c>
      <c r="C1200" s="4" t="str">
        <f>HYPERLINK("http://www.rncp.cncp.gouv.fr/grand-public/visualisationFiche?format=fr&amp;fiche=15104","15104")</f>
        <v>15104</v>
      </c>
      <c r="D1200" s="4" t="str">
        <f>HYPERLINK("http://www.intercariforef.org/formations/certification-78987.html","78987")</f>
        <v>78987</v>
      </c>
      <c r="E1200" s="5">
        <v>3059</v>
      </c>
      <c r="F1200" s="5" t="s">
        <v>10</v>
      </c>
      <c r="G1200" s="5" t="s">
        <v>11</v>
      </c>
      <c r="H1200" s="3" t="s">
        <v>34</v>
      </c>
    </row>
    <row r="1201" spans="1:8" ht="27.6" x14ac:dyDescent="0.25">
      <c r="A1201" s="3" t="s">
        <v>1004</v>
      </c>
      <c r="B1201" s="3" t="s">
        <v>1577</v>
      </c>
      <c r="C1201" s="4" t="str">
        <f>HYPERLINK("http://www.rncp.cncp.gouv.fr/grand-public/visualisationFiche?format=fr&amp;fiche=18673","18673")</f>
        <v>18673</v>
      </c>
      <c r="D1201" s="4" t="str">
        <f>HYPERLINK("http://www.intercariforef.org/formations/certification-63548.html","63548")</f>
        <v>63548</v>
      </c>
      <c r="E1201" s="5">
        <v>17475</v>
      </c>
      <c r="F1201" s="5" t="s">
        <v>10</v>
      </c>
      <c r="G1201" s="5" t="s">
        <v>11</v>
      </c>
      <c r="H1201" s="3" t="s">
        <v>731</v>
      </c>
    </row>
    <row r="1202" spans="1:8" ht="27.6" x14ac:dyDescent="0.25">
      <c r="A1202" s="3" t="s">
        <v>1004</v>
      </c>
      <c r="B1202" s="3" t="s">
        <v>1578</v>
      </c>
      <c r="C1202" s="4" t="str">
        <f>HYPERLINK("http://www.rncp.cncp.gouv.fr/grand-public/visualisationFiche?format=fr&amp;fiche=18452","18452")</f>
        <v>18452</v>
      </c>
      <c r="D1202" s="4" t="str">
        <f>HYPERLINK("http://www.intercariforef.org/formations/certification-64865.html","64865")</f>
        <v>64865</v>
      </c>
      <c r="E1202" s="5">
        <v>6745</v>
      </c>
      <c r="F1202" s="5" t="s">
        <v>10</v>
      </c>
      <c r="G1202" s="5" t="s">
        <v>11</v>
      </c>
      <c r="H1202" s="3" t="s">
        <v>731</v>
      </c>
    </row>
    <row r="1203" spans="1:8" ht="27.6" x14ac:dyDescent="0.25">
      <c r="A1203" s="3" t="s">
        <v>1004</v>
      </c>
      <c r="B1203" s="3" t="s">
        <v>1579</v>
      </c>
      <c r="C1203" s="5"/>
      <c r="D1203" s="4" t="str">
        <f>HYPERLINK("http://www.intercariforef.org/formations/certification-63509.html","63509")</f>
        <v>63509</v>
      </c>
      <c r="E1203" s="5">
        <v>144847</v>
      </c>
      <c r="F1203" s="5" t="s">
        <v>10</v>
      </c>
      <c r="G1203" s="5" t="s">
        <v>11</v>
      </c>
      <c r="H1203" s="3" t="s">
        <v>963</v>
      </c>
    </row>
    <row r="1204" spans="1:8" ht="13.8" x14ac:dyDescent="0.25">
      <c r="A1204" s="3" t="s">
        <v>1004</v>
      </c>
      <c r="B1204" s="3" t="s">
        <v>1580</v>
      </c>
      <c r="C1204" s="4" t="str">
        <f>HYPERLINK("http://www.rncp.cncp.gouv.fr/grand-public/visualisationFiche?format=fr&amp;fiche=3754","3754")</f>
        <v>3754</v>
      </c>
      <c r="D1204" s="4" t="str">
        <f>HYPERLINK("http://www.intercariforef.org/formations/certification-55220.html","55220")</f>
        <v>55220</v>
      </c>
      <c r="E1204" s="5">
        <v>6751</v>
      </c>
      <c r="F1204" s="5" t="s">
        <v>10</v>
      </c>
      <c r="G1204" s="5" t="s">
        <v>11</v>
      </c>
      <c r="H1204" s="3" t="s">
        <v>774</v>
      </c>
    </row>
    <row r="1205" spans="1:8" ht="27.6" x14ac:dyDescent="0.25">
      <c r="A1205" s="3" t="s">
        <v>1004</v>
      </c>
      <c r="B1205" s="3" t="s">
        <v>1581</v>
      </c>
      <c r="C1205" s="4" t="str">
        <f>HYPERLINK("http://www.rncp.cncp.gouv.fr/grand-public/visualisationFiche?format=fr&amp;fiche=14783","14783")</f>
        <v>14783</v>
      </c>
      <c r="D1205" s="4" t="str">
        <f>HYPERLINK("http://www.intercariforef.org/formations/certification-78434.html","78434")</f>
        <v>78434</v>
      </c>
      <c r="E1205" s="5">
        <v>17434</v>
      </c>
      <c r="F1205" s="5" t="s">
        <v>10</v>
      </c>
      <c r="G1205" s="5" t="s">
        <v>11</v>
      </c>
      <c r="H1205" s="3" t="s">
        <v>905</v>
      </c>
    </row>
    <row r="1206" spans="1:8" ht="13.8" x14ac:dyDescent="0.25">
      <c r="A1206" s="3" t="s">
        <v>1004</v>
      </c>
      <c r="B1206" s="3" t="s">
        <v>1582</v>
      </c>
      <c r="C1206" s="4" t="str">
        <f>HYPERLINK("http://www.rncp.cncp.gouv.fr/grand-public/visualisationFiche?format=fr&amp;fiche=3269","3269")</f>
        <v>3269</v>
      </c>
      <c r="D1206" s="4" t="str">
        <f>HYPERLINK("http://www.intercariforef.org/formations/certification-17571.html","17571")</f>
        <v>17571</v>
      </c>
      <c r="E1206" s="5">
        <v>6754</v>
      </c>
      <c r="F1206" s="5" t="s">
        <v>10</v>
      </c>
      <c r="G1206" s="5" t="s">
        <v>11</v>
      </c>
      <c r="H1206" s="3" t="s">
        <v>810</v>
      </c>
    </row>
    <row r="1207" spans="1:8" ht="27.6" x14ac:dyDescent="0.25">
      <c r="A1207" s="3" t="s">
        <v>1004</v>
      </c>
      <c r="B1207" s="3" t="s">
        <v>1583</v>
      </c>
      <c r="C1207" s="4" t="str">
        <f>HYPERLINK("http://www.rncp.cncp.gouv.fr/grand-public/visualisationFiche?format=fr&amp;fiche=18422","18422")</f>
        <v>18422</v>
      </c>
      <c r="D1207" s="4" t="str">
        <f>HYPERLINK("http://www.intercariforef.org/formations/certification-69002.html","69002")</f>
        <v>69002</v>
      </c>
      <c r="E1207" s="5">
        <v>17459</v>
      </c>
      <c r="F1207" s="5" t="s">
        <v>10</v>
      </c>
      <c r="G1207" s="5" t="s">
        <v>11</v>
      </c>
      <c r="H1207" s="3" t="s">
        <v>954</v>
      </c>
    </row>
    <row r="1208" spans="1:8" ht="27.6" x14ac:dyDescent="0.25">
      <c r="A1208" s="3" t="s">
        <v>1004</v>
      </c>
      <c r="B1208" s="3" t="s">
        <v>1584</v>
      </c>
      <c r="C1208" s="4" t="str">
        <f>HYPERLINK("http://www.rncp.cncp.gouv.fr/grand-public/visualisationFiche?format=fr&amp;fiche=4975","4975")</f>
        <v>4975</v>
      </c>
      <c r="D1208" s="4" t="str">
        <f>HYPERLINK("http://www.intercariforef.org/formations/certification-50232.html","50232")</f>
        <v>50232</v>
      </c>
      <c r="E1208" s="5">
        <v>145168</v>
      </c>
      <c r="F1208" s="5" t="s">
        <v>10</v>
      </c>
      <c r="G1208" s="5" t="s">
        <v>11</v>
      </c>
      <c r="H1208" s="3" t="s">
        <v>746</v>
      </c>
    </row>
    <row r="1209" spans="1:8" ht="13.8" x14ac:dyDescent="0.25">
      <c r="A1209" s="3" t="s">
        <v>1004</v>
      </c>
      <c r="B1209" s="3" t="s">
        <v>1585</v>
      </c>
      <c r="C1209" s="4" t="str">
        <f>HYPERLINK("http://www.rncp.cncp.gouv.fr/grand-public/visualisationFiche?format=fr&amp;fiche=16168","16168")</f>
        <v>16168</v>
      </c>
      <c r="D1209" s="4" t="str">
        <f>HYPERLINK("http://www.intercariforef.org/formations/certification-55052.html","55052")</f>
        <v>55052</v>
      </c>
      <c r="E1209" s="5">
        <v>131747</v>
      </c>
      <c r="F1209" s="5" t="s">
        <v>10</v>
      </c>
      <c r="G1209" s="5" t="s">
        <v>11</v>
      </c>
      <c r="H1209" s="3" t="s">
        <v>965</v>
      </c>
    </row>
    <row r="1210" spans="1:8" ht="27.6" x14ac:dyDescent="0.25">
      <c r="A1210" s="3" t="s">
        <v>1004</v>
      </c>
      <c r="B1210" s="3" t="s">
        <v>1586</v>
      </c>
      <c r="C1210" s="4" t="str">
        <f>HYPERLINK("http://www.rncp.cncp.gouv.fr/grand-public/visualisationFiche?format=fr&amp;fiche=14934","14934")</f>
        <v>14934</v>
      </c>
      <c r="D1210" s="4" t="str">
        <f>HYPERLINK("http://www.intercariforef.org/formations/certification-75728.html","75728")</f>
        <v>75728</v>
      </c>
      <c r="E1210" s="5">
        <v>6796</v>
      </c>
      <c r="F1210" s="5" t="s">
        <v>10</v>
      </c>
      <c r="G1210" s="5" t="s">
        <v>11</v>
      </c>
      <c r="H1210" s="3" t="s">
        <v>514</v>
      </c>
    </row>
    <row r="1211" spans="1:8" ht="27.6" x14ac:dyDescent="0.25">
      <c r="A1211" s="3" t="s">
        <v>1004</v>
      </c>
      <c r="B1211" s="3" t="s">
        <v>1587</v>
      </c>
      <c r="C1211" s="4" t="str">
        <f>HYPERLINK("http://www.rncp.cncp.gouv.fr/grand-public/visualisationFiche?format=fr&amp;fiche=10309","10309")</f>
        <v>10309</v>
      </c>
      <c r="D1211" s="4" t="str">
        <f>HYPERLINK("http://www.intercariforef.org/formations/certification-59160.html","59160")</f>
        <v>59160</v>
      </c>
      <c r="E1211" s="5">
        <v>6797</v>
      </c>
      <c r="F1211" s="5" t="s">
        <v>10</v>
      </c>
      <c r="G1211" s="5" t="s">
        <v>11</v>
      </c>
      <c r="H1211" s="3" t="s">
        <v>763</v>
      </c>
    </row>
    <row r="1212" spans="1:8" ht="27.6" x14ac:dyDescent="0.25">
      <c r="A1212" s="3" t="s">
        <v>1004</v>
      </c>
      <c r="B1212" s="3" t="s">
        <v>1588</v>
      </c>
      <c r="C1212" s="4" t="str">
        <f>HYPERLINK("http://www.rncp.cncp.gouv.fr/grand-public/visualisationFiche?format=fr&amp;fiche=17846","17846")</f>
        <v>17846</v>
      </c>
      <c r="D1212" s="4" t="str">
        <f>HYPERLINK("http://www.intercariforef.org/formations/certification-71335.html","71335")</f>
        <v>71335</v>
      </c>
      <c r="E1212" s="5">
        <v>6798</v>
      </c>
      <c r="F1212" s="5" t="s">
        <v>10</v>
      </c>
      <c r="G1212" s="5" t="s">
        <v>11</v>
      </c>
      <c r="H1212" s="3" t="s">
        <v>731</v>
      </c>
    </row>
    <row r="1213" spans="1:8" ht="13.8" x14ac:dyDescent="0.25">
      <c r="A1213" s="3" t="s">
        <v>1004</v>
      </c>
      <c r="B1213" s="3" t="s">
        <v>1589</v>
      </c>
      <c r="C1213" s="4" t="str">
        <f>HYPERLINK("http://www.rncp.cncp.gouv.fr/grand-public/visualisationFiche?format=fr&amp;fiche=15551","15551")</f>
        <v>15551</v>
      </c>
      <c r="D1213" s="4" t="str">
        <f>HYPERLINK("http://www.intercariforef.org/formations/certification-64011.html","64011")</f>
        <v>64011</v>
      </c>
      <c r="E1213" s="5">
        <v>6872</v>
      </c>
      <c r="F1213" s="5" t="s">
        <v>10</v>
      </c>
      <c r="G1213" s="5" t="s">
        <v>11</v>
      </c>
      <c r="H1213" s="3" t="s">
        <v>776</v>
      </c>
    </row>
    <row r="1214" spans="1:8" ht="13.8" x14ac:dyDescent="0.25">
      <c r="A1214" s="3" t="s">
        <v>1004</v>
      </c>
      <c r="B1214" s="3" t="s">
        <v>1590</v>
      </c>
      <c r="C1214" s="4" t="str">
        <f>HYPERLINK("http://www.rncp.cncp.gouv.fr/grand-public/visualisationFiche?format=fr&amp;fiche=18699","18699")</f>
        <v>18699</v>
      </c>
      <c r="D1214" s="4" t="str">
        <f>HYPERLINK("http://www.intercariforef.org/formations/certification-82051.html","82051")</f>
        <v>82051</v>
      </c>
      <c r="E1214" s="5">
        <v>6805</v>
      </c>
      <c r="F1214" s="5" t="s">
        <v>10</v>
      </c>
      <c r="G1214" s="5" t="s">
        <v>11</v>
      </c>
      <c r="H1214" s="3" t="s">
        <v>731</v>
      </c>
    </row>
    <row r="1215" spans="1:8" ht="13.8" x14ac:dyDescent="0.25">
      <c r="A1215" s="3" t="s">
        <v>1004</v>
      </c>
      <c r="B1215" s="3" t="s">
        <v>1591</v>
      </c>
      <c r="C1215" s="5"/>
      <c r="D1215" s="4" t="str">
        <f>HYPERLINK("http://www.intercariforef.org/formations/certification-81753.html","81753")</f>
        <v>81753</v>
      </c>
      <c r="E1215" s="5">
        <v>155041</v>
      </c>
      <c r="F1215" s="5" t="s">
        <v>10</v>
      </c>
      <c r="G1215" s="5" t="s">
        <v>11</v>
      </c>
      <c r="H1215" s="3" t="s">
        <v>963</v>
      </c>
    </row>
    <row r="1216" spans="1:8" ht="27.6" x14ac:dyDescent="0.25">
      <c r="A1216" s="3" t="s">
        <v>1004</v>
      </c>
      <c r="B1216" s="3" t="s">
        <v>1592</v>
      </c>
      <c r="C1216" s="4" t="str">
        <f>HYPERLINK("http://www.rncp.cncp.gouv.fr/grand-public/visualisationFiche?format=fr&amp;fiche=10310","10310")</f>
        <v>10310</v>
      </c>
      <c r="D1216" s="4" t="str">
        <f>HYPERLINK("http://www.intercariforef.org/formations/certification-59137.html","59137")</f>
        <v>59137</v>
      </c>
      <c r="E1216" s="5">
        <v>6800</v>
      </c>
      <c r="F1216" s="5" t="s">
        <v>10</v>
      </c>
      <c r="G1216" s="5" t="s">
        <v>11</v>
      </c>
      <c r="H1216" s="3" t="s">
        <v>763</v>
      </c>
    </row>
    <row r="1217" spans="1:8" ht="13.8" x14ac:dyDescent="0.25">
      <c r="A1217" s="3" t="s">
        <v>1004</v>
      </c>
      <c r="B1217" s="3" t="s">
        <v>1593</v>
      </c>
      <c r="C1217" s="4" t="str">
        <f>HYPERLINK("http://www.rncp.cncp.gouv.fr/grand-public/visualisationFiche?format=fr&amp;fiche=18675","18675")</f>
        <v>18675</v>
      </c>
      <c r="D1217" s="4" t="str">
        <f>HYPERLINK("http://www.intercariforef.org/formations/certification-82052.html","82052")</f>
        <v>82052</v>
      </c>
      <c r="E1217" s="5">
        <v>6799</v>
      </c>
      <c r="F1217" s="5" t="s">
        <v>10</v>
      </c>
      <c r="G1217" s="5" t="s">
        <v>11</v>
      </c>
      <c r="H1217" s="3" t="s">
        <v>731</v>
      </c>
    </row>
    <row r="1218" spans="1:8" ht="27.6" x14ac:dyDescent="0.25">
      <c r="A1218" s="3" t="s">
        <v>1004</v>
      </c>
      <c r="B1218" s="3" t="s">
        <v>1594</v>
      </c>
      <c r="C1218" s="4" t="str">
        <f>HYPERLINK("http://www.rncp.cncp.gouv.fr/grand-public/visualisationFiche?format=fr&amp;fiche=15023","15023")</f>
        <v>15023</v>
      </c>
      <c r="D1218" s="4" t="str">
        <f>HYPERLINK("http://www.intercariforef.org/formations/certification-76468.html","76468")</f>
        <v>76468</v>
      </c>
      <c r="E1218" s="5">
        <v>6801</v>
      </c>
      <c r="F1218" s="5" t="s">
        <v>10</v>
      </c>
      <c r="G1218" s="5" t="s">
        <v>11</v>
      </c>
      <c r="H1218" s="3" t="s">
        <v>763</v>
      </c>
    </row>
    <row r="1219" spans="1:8" ht="27.6" x14ac:dyDescent="0.25">
      <c r="A1219" s="3" t="s">
        <v>1004</v>
      </c>
      <c r="B1219" s="3" t="s">
        <v>1595</v>
      </c>
      <c r="C1219" s="4" t="str">
        <f>HYPERLINK("http://www.rncp.cncp.gouv.fr/grand-public/visualisationFiche?format=fr&amp;fiche=6307","6307")</f>
        <v>6307</v>
      </c>
      <c r="D1219" s="4" t="str">
        <f>HYPERLINK("http://www.intercariforef.org/formations/certification-79820.html","79820")</f>
        <v>79820</v>
      </c>
      <c r="E1219" s="5">
        <v>17491</v>
      </c>
      <c r="F1219" s="5" t="s">
        <v>10</v>
      </c>
      <c r="G1219" s="5" t="s">
        <v>11</v>
      </c>
      <c r="H1219" s="3" t="s">
        <v>750</v>
      </c>
    </row>
    <row r="1220" spans="1:8" ht="13.8" x14ac:dyDescent="0.25">
      <c r="A1220" s="3" t="s">
        <v>1004</v>
      </c>
      <c r="B1220" s="3" t="s">
        <v>1596</v>
      </c>
      <c r="C1220" s="4" t="str">
        <f>HYPERLINK("http://www.rncp.cncp.gouv.fr/grand-public/visualisationFiche?format=fr&amp;fiche=3481","3481")</f>
        <v>3481</v>
      </c>
      <c r="D1220" s="4" t="str">
        <f>HYPERLINK("http://www.intercariforef.org/formations/certification-17592.html","17592")</f>
        <v>17592</v>
      </c>
      <c r="E1220" s="5">
        <v>6762</v>
      </c>
      <c r="F1220" s="5" t="s">
        <v>10</v>
      </c>
      <c r="G1220" s="5" t="s">
        <v>11</v>
      </c>
      <c r="H1220" s="3" t="s">
        <v>1163</v>
      </c>
    </row>
    <row r="1221" spans="1:8" ht="27.6" x14ac:dyDescent="0.25">
      <c r="A1221" s="3" t="s">
        <v>1004</v>
      </c>
      <c r="B1221" s="3" t="s">
        <v>1597</v>
      </c>
      <c r="C1221" s="4" t="str">
        <f>HYPERLINK("http://www.rncp.cncp.gouv.fr/grand-public/visualisationFiche?format=fr&amp;fiche=3601","3601")</f>
        <v>3601</v>
      </c>
      <c r="D1221" s="4" t="str">
        <f>HYPERLINK("http://www.intercariforef.org/formations/certification-17593.html","17593")</f>
        <v>17593</v>
      </c>
      <c r="E1221" s="5">
        <v>6749</v>
      </c>
      <c r="F1221" s="5" t="s">
        <v>10</v>
      </c>
      <c r="G1221" s="5" t="s">
        <v>11</v>
      </c>
      <c r="H1221" s="3" t="s">
        <v>845</v>
      </c>
    </row>
    <row r="1222" spans="1:8" ht="27.6" x14ac:dyDescent="0.25">
      <c r="A1222" s="3" t="s">
        <v>1004</v>
      </c>
      <c r="B1222" s="3" t="s">
        <v>1598</v>
      </c>
      <c r="C1222" s="5"/>
      <c r="D1222" s="4" t="str">
        <f>HYPERLINK("http://www.intercariforef.org/formations/certification-75003.html","75003")</f>
        <v>75003</v>
      </c>
      <c r="E1222" s="5">
        <v>144849</v>
      </c>
      <c r="F1222" s="5" t="s">
        <v>10</v>
      </c>
      <c r="G1222" s="5" t="s">
        <v>11</v>
      </c>
      <c r="H1222" s="3" t="s">
        <v>963</v>
      </c>
    </row>
    <row r="1223" spans="1:8" ht="13.8" x14ac:dyDescent="0.25">
      <c r="A1223" s="3" t="s">
        <v>1004</v>
      </c>
      <c r="B1223" s="3" t="s">
        <v>1599</v>
      </c>
      <c r="C1223" s="4" t="str">
        <f>HYPERLINK("http://www.rncp.cncp.gouv.fr/grand-public/visualisationFiche?format=fr&amp;fiche=3800","3800")</f>
        <v>3800</v>
      </c>
      <c r="D1223" s="4" t="str">
        <f>HYPERLINK("http://www.intercariforef.org/formations/certification-55318.html","55318")</f>
        <v>55318</v>
      </c>
      <c r="E1223" s="5">
        <v>6763</v>
      </c>
      <c r="F1223" s="5" t="s">
        <v>10</v>
      </c>
      <c r="G1223" s="5" t="s">
        <v>11</v>
      </c>
      <c r="H1223" s="3" t="s">
        <v>954</v>
      </c>
    </row>
    <row r="1224" spans="1:8" ht="13.8" x14ac:dyDescent="0.25">
      <c r="A1224" s="3" t="s">
        <v>1004</v>
      </c>
      <c r="B1224" s="3" t="s">
        <v>1600</v>
      </c>
      <c r="C1224" s="4" t="str">
        <f>HYPERLINK("http://www.rncp.cncp.gouv.fr/grand-public/visualisationFiche?format=fr&amp;fiche=3801","3801")</f>
        <v>3801</v>
      </c>
      <c r="D1224" s="4" t="str">
        <f>HYPERLINK("http://www.intercariforef.org/formations/certification-55320.html","55320")</f>
        <v>55320</v>
      </c>
      <c r="E1224" s="5">
        <v>6765</v>
      </c>
      <c r="F1224" s="5" t="s">
        <v>10</v>
      </c>
      <c r="G1224" s="5" t="s">
        <v>11</v>
      </c>
      <c r="H1224" s="3" t="s">
        <v>954</v>
      </c>
    </row>
    <row r="1225" spans="1:8" ht="27.6" x14ac:dyDescent="0.25">
      <c r="A1225" s="3" t="s">
        <v>1004</v>
      </c>
      <c r="B1225" s="3" t="s">
        <v>1601</v>
      </c>
      <c r="C1225" s="4" t="str">
        <f>HYPERLINK("http://www.rncp.cncp.gouv.fr/grand-public/visualisationFiche?format=fr&amp;fiche=3556","3556")</f>
        <v>3556</v>
      </c>
      <c r="D1225" s="4" t="str">
        <f>HYPERLINK("http://www.intercariforef.org/formations/certification-55200.html","55200")</f>
        <v>55200</v>
      </c>
      <c r="E1225" s="5">
        <v>6771</v>
      </c>
      <c r="F1225" s="5" t="s">
        <v>10</v>
      </c>
      <c r="G1225" s="5" t="s">
        <v>11</v>
      </c>
      <c r="H1225" s="3" t="s">
        <v>744</v>
      </c>
    </row>
    <row r="1226" spans="1:8" ht="27.6" x14ac:dyDescent="0.25">
      <c r="A1226" s="3" t="s">
        <v>1004</v>
      </c>
      <c r="B1226" s="3" t="s">
        <v>1602</v>
      </c>
      <c r="C1226" s="4" t="str">
        <f>HYPERLINK("http://www.rncp.cncp.gouv.fr/grand-public/visualisationFiche?format=fr&amp;fiche=4475","4475")</f>
        <v>4475</v>
      </c>
      <c r="D1226" s="4" t="str">
        <f>HYPERLINK("http://www.intercariforef.org/formations/certification-55355.html","55355")</f>
        <v>55355</v>
      </c>
      <c r="E1226" s="5">
        <v>6772</v>
      </c>
      <c r="F1226" s="5" t="s">
        <v>10</v>
      </c>
      <c r="G1226" s="5" t="s">
        <v>11</v>
      </c>
      <c r="H1226" s="3" t="s">
        <v>934</v>
      </c>
    </row>
    <row r="1227" spans="1:8" ht="27.6" x14ac:dyDescent="0.25">
      <c r="A1227" s="3" t="s">
        <v>1004</v>
      </c>
      <c r="B1227" s="3" t="s">
        <v>1603</v>
      </c>
      <c r="C1227" s="4" t="str">
        <f>HYPERLINK("http://www.rncp.cncp.gouv.fr/grand-public/visualisationFiche?format=fr&amp;fiche=14774","14774")</f>
        <v>14774</v>
      </c>
      <c r="D1227" s="4" t="str">
        <f>HYPERLINK("http://www.intercariforef.org/formations/certification-58690.html","58690")</f>
        <v>58690</v>
      </c>
      <c r="E1227" s="5">
        <v>6766</v>
      </c>
      <c r="F1227" s="5" t="s">
        <v>10</v>
      </c>
      <c r="G1227" s="5" t="s">
        <v>11</v>
      </c>
      <c r="H1227" s="3" t="s">
        <v>905</v>
      </c>
    </row>
    <row r="1228" spans="1:8" ht="13.8" x14ac:dyDescent="0.25">
      <c r="A1228" s="3" t="s">
        <v>1004</v>
      </c>
      <c r="B1228" s="3" t="s">
        <v>1604</v>
      </c>
      <c r="C1228" s="4" t="str">
        <f>HYPERLINK("http://www.rncp.cncp.gouv.fr/grand-public/visualisationFiche?format=fr&amp;fiche=10311","10311")</f>
        <v>10311</v>
      </c>
      <c r="D1228" s="4" t="str">
        <f>HYPERLINK("http://www.intercariforef.org/formations/certification-53509.html","53509")</f>
        <v>53509</v>
      </c>
      <c r="E1228" s="5">
        <v>6775</v>
      </c>
      <c r="F1228" s="5" t="s">
        <v>10</v>
      </c>
      <c r="G1228" s="5" t="s">
        <v>11</v>
      </c>
      <c r="H1228" s="3" t="s">
        <v>763</v>
      </c>
    </row>
    <row r="1229" spans="1:8" ht="13.8" x14ac:dyDescent="0.25">
      <c r="A1229" s="3" t="s">
        <v>1004</v>
      </c>
      <c r="B1229" s="3" t="s">
        <v>1605</v>
      </c>
      <c r="C1229" s="4" t="str">
        <f>HYPERLINK("http://www.rncp.cncp.gouv.fr/grand-public/visualisationFiche?format=fr&amp;fiche=3268","3268")</f>
        <v>3268</v>
      </c>
      <c r="D1229" s="4" t="str">
        <f>HYPERLINK("http://www.intercariforef.org/formations/certification-55186.html","55186")</f>
        <v>55186</v>
      </c>
      <c r="E1229" s="5">
        <v>6793</v>
      </c>
      <c r="F1229" s="5" t="s">
        <v>10</v>
      </c>
      <c r="G1229" s="5" t="s">
        <v>11</v>
      </c>
      <c r="H1229" s="3" t="s">
        <v>810</v>
      </c>
    </row>
    <row r="1230" spans="1:8" ht="13.8" x14ac:dyDescent="0.25">
      <c r="A1230" s="3" t="s">
        <v>1004</v>
      </c>
      <c r="B1230" s="3" t="s">
        <v>1606</v>
      </c>
      <c r="C1230" s="4" t="str">
        <f>HYPERLINK("http://www.rncp.cncp.gouv.fr/grand-public/visualisationFiche?format=fr&amp;fiche=17913","17913")</f>
        <v>17913</v>
      </c>
      <c r="D1230" s="4" t="str">
        <f>HYPERLINK("http://www.intercariforef.org/formations/certification-76299.html","76299")</f>
        <v>76299</v>
      </c>
      <c r="E1230" s="5">
        <v>6802</v>
      </c>
      <c r="F1230" s="5" t="s">
        <v>10</v>
      </c>
      <c r="G1230" s="5" t="s">
        <v>11</v>
      </c>
      <c r="H1230" s="3" t="s">
        <v>954</v>
      </c>
    </row>
    <row r="1231" spans="1:8" ht="13.8" x14ac:dyDescent="0.25">
      <c r="A1231" s="3" t="s">
        <v>1004</v>
      </c>
      <c r="B1231" s="3" t="s">
        <v>1607</v>
      </c>
      <c r="C1231" s="4" t="str">
        <f>HYPERLINK("http://www.rncp.cncp.gouv.fr/grand-public/visualisationFiche?format=fr&amp;fiche=20118","20118")</f>
        <v>20118</v>
      </c>
      <c r="D1231" s="4" t="str">
        <f>HYPERLINK("http://www.intercariforef.org/formations/certification-53878.html","53878")</f>
        <v>53878</v>
      </c>
      <c r="E1231" s="5">
        <v>6794</v>
      </c>
      <c r="F1231" s="5" t="s">
        <v>10</v>
      </c>
      <c r="G1231" s="5" t="s">
        <v>11</v>
      </c>
      <c r="H1231" s="3" t="s">
        <v>810</v>
      </c>
    </row>
    <row r="1232" spans="1:8" ht="27.6" x14ac:dyDescent="0.25">
      <c r="A1232" s="3" t="s">
        <v>1004</v>
      </c>
      <c r="B1232" s="3" t="s">
        <v>1608</v>
      </c>
      <c r="C1232" s="4" t="str">
        <f>HYPERLINK("http://www.rncp.cncp.gouv.fr/grand-public/visualisationFiche?format=fr&amp;fiche=18642","18642")</f>
        <v>18642</v>
      </c>
      <c r="D1232" s="4" t="str">
        <f>HYPERLINK("http://www.intercariforef.org/formations/certification-53838.html","53838")</f>
        <v>53838</v>
      </c>
      <c r="E1232" s="5">
        <v>6806</v>
      </c>
      <c r="F1232" s="5" t="s">
        <v>10</v>
      </c>
      <c r="G1232" s="5" t="s">
        <v>11</v>
      </c>
      <c r="H1232" s="3" t="s">
        <v>731</v>
      </c>
    </row>
    <row r="1233" spans="1:8" ht="27.6" x14ac:dyDescent="0.25">
      <c r="A1233" s="3" t="s">
        <v>1004</v>
      </c>
      <c r="B1233" s="3" t="s">
        <v>1609</v>
      </c>
      <c r="C1233" s="4" t="str">
        <f>HYPERLINK("http://www.rncp.cncp.gouv.fr/grand-public/visualisationFiche?format=fr&amp;fiche=14048","14048")</f>
        <v>14048</v>
      </c>
      <c r="D1233" s="4" t="str">
        <f>HYPERLINK("http://www.intercariforef.org/formations/certification-79185.html","79185")</f>
        <v>79185</v>
      </c>
      <c r="E1233" s="5">
        <v>6709</v>
      </c>
      <c r="F1233" s="5" t="s">
        <v>10</v>
      </c>
      <c r="G1233" s="5" t="s">
        <v>11</v>
      </c>
      <c r="H1233" s="3" t="s">
        <v>850</v>
      </c>
    </row>
    <row r="1234" spans="1:8" ht="27.6" x14ac:dyDescent="0.25">
      <c r="A1234" s="3" t="s">
        <v>1004</v>
      </c>
      <c r="B1234" s="3" t="s">
        <v>1610</v>
      </c>
      <c r="C1234" s="4" t="str">
        <f>HYPERLINK("http://www.rncp.cncp.gouv.fr/grand-public/visualisationFiche?format=fr&amp;fiche=10265","10265")</f>
        <v>10265</v>
      </c>
      <c r="D1234" s="4" t="str">
        <f>HYPERLINK("http://www.intercariforef.org/formations/certification-42881.html","42881")</f>
        <v>42881</v>
      </c>
      <c r="E1234" s="5">
        <v>6809</v>
      </c>
      <c r="F1234" s="5" t="s">
        <v>10</v>
      </c>
      <c r="G1234" s="5" t="s">
        <v>11</v>
      </c>
      <c r="H1234" s="3" t="s">
        <v>538</v>
      </c>
    </row>
    <row r="1235" spans="1:8" ht="13.8" x14ac:dyDescent="0.25">
      <c r="A1235" s="3" t="s">
        <v>1004</v>
      </c>
      <c r="B1235" s="3" t="s">
        <v>1611</v>
      </c>
      <c r="C1235" s="4" t="str">
        <f>HYPERLINK("http://www.rncp.cncp.gouv.fr/grand-public/visualisationFiche?format=fr&amp;fiche=11017","11017")</f>
        <v>11017</v>
      </c>
      <c r="D1235" s="4" t="str">
        <f>HYPERLINK("http://www.intercariforef.org/formations/certification-64081.html","64081")</f>
        <v>64081</v>
      </c>
      <c r="E1235" s="5">
        <v>131702</v>
      </c>
      <c r="F1235" s="5" t="s">
        <v>10</v>
      </c>
      <c r="G1235" s="5" t="s">
        <v>11</v>
      </c>
      <c r="H1235" s="3" t="s">
        <v>845</v>
      </c>
    </row>
    <row r="1236" spans="1:8" ht="27.6" x14ac:dyDescent="0.25">
      <c r="A1236" s="3" t="s">
        <v>1004</v>
      </c>
      <c r="B1236" s="3" t="s">
        <v>1612</v>
      </c>
      <c r="C1236" s="4" t="str">
        <f>HYPERLINK("http://www.rncp.cncp.gouv.fr/grand-public/visualisationFiche?format=fr&amp;fiche=13319","13319")</f>
        <v>13319</v>
      </c>
      <c r="D1236" s="4" t="str">
        <f>HYPERLINK("http://www.intercariforef.org/formations/certification-50233.html","50233")</f>
        <v>50233</v>
      </c>
      <c r="E1236" s="5">
        <v>6803</v>
      </c>
      <c r="F1236" s="5" t="s">
        <v>10</v>
      </c>
      <c r="G1236" s="5" t="s">
        <v>11</v>
      </c>
      <c r="H1236" s="3" t="s">
        <v>746</v>
      </c>
    </row>
    <row r="1237" spans="1:8" ht="13.8" x14ac:dyDescent="0.25">
      <c r="A1237" s="3" t="s">
        <v>1004</v>
      </c>
      <c r="B1237" s="3" t="s">
        <v>1613</v>
      </c>
      <c r="C1237" s="4" t="str">
        <f>HYPERLINK("http://www.rncp.cncp.gouv.fr/grand-public/visualisationFiche?format=fr&amp;fiche=14477","14477")</f>
        <v>14477</v>
      </c>
      <c r="D1237" s="4" t="str">
        <f>HYPERLINK("http://www.intercariforef.org/formations/certification-81869.html","81869")</f>
        <v>81869</v>
      </c>
      <c r="E1237" s="5">
        <v>17317</v>
      </c>
      <c r="F1237" s="5" t="s">
        <v>10</v>
      </c>
      <c r="G1237" s="5" t="s">
        <v>11</v>
      </c>
      <c r="H1237" s="3" t="s">
        <v>737</v>
      </c>
    </row>
    <row r="1238" spans="1:8" ht="13.8" x14ac:dyDescent="0.25">
      <c r="A1238" s="3" t="s">
        <v>1004</v>
      </c>
      <c r="B1238" s="3" t="s">
        <v>1614</v>
      </c>
      <c r="C1238" s="4" t="str">
        <f>HYPERLINK("http://www.rncp.cncp.gouv.fr/grand-public/visualisationFiche?format=fr&amp;fiche=18646","18646")</f>
        <v>18646</v>
      </c>
      <c r="D1238" s="4" t="str">
        <f>HYPERLINK("http://www.intercariforef.org/formations/certification-64822.html","64822")</f>
        <v>64822</v>
      </c>
      <c r="E1238" s="5">
        <v>6807</v>
      </c>
      <c r="F1238" s="5" t="s">
        <v>10</v>
      </c>
      <c r="G1238" s="5" t="s">
        <v>11</v>
      </c>
      <c r="H1238" s="3" t="s">
        <v>731</v>
      </c>
    </row>
    <row r="1239" spans="1:8" ht="27.6" x14ac:dyDescent="0.25">
      <c r="A1239" s="3" t="s">
        <v>1004</v>
      </c>
      <c r="B1239" s="3" t="s">
        <v>1615</v>
      </c>
      <c r="C1239" s="5"/>
      <c r="D1239" s="4" t="str">
        <f>HYPERLINK("http://www.intercariforef.org/formations/certification-71337.html","71337")</f>
        <v>71337</v>
      </c>
      <c r="E1239" s="5">
        <v>6808</v>
      </c>
      <c r="F1239" s="5" t="s">
        <v>10</v>
      </c>
      <c r="G1239" s="5" t="s">
        <v>11</v>
      </c>
      <c r="H1239" s="3" t="s">
        <v>1225</v>
      </c>
    </row>
    <row r="1240" spans="1:8" ht="13.8" x14ac:dyDescent="0.25">
      <c r="A1240" s="3" t="s">
        <v>1004</v>
      </c>
      <c r="B1240" s="3" t="s">
        <v>1616</v>
      </c>
      <c r="C1240" s="4" t="str">
        <f>HYPERLINK("http://www.rncp.cncp.gouv.fr/grand-public/visualisationFiche?format=fr&amp;fiche=11682","11682")</f>
        <v>11682</v>
      </c>
      <c r="D1240" s="4" t="str">
        <f>HYPERLINK("http://www.intercariforef.org/formations/certification-17638.html","17638")</f>
        <v>17638</v>
      </c>
      <c r="E1240" s="5">
        <v>6795</v>
      </c>
      <c r="F1240" s="5" t="s">
        <v>10</v>
      </c>
      <c r="G1240" s="5" t="s">
        <v>11</v>
      </c>
      <c r="H1240" s="3" t="s">
        <v>737</v>
      </c>
    </row>
    <row r="1241" spans="1:8" ht="27.6" x14ac:dyDescent="0.25">
      <c r="A1241" s="3" t="s">
        <v>1004</v>
      </c>
      <c r="B1241" s="3" t="s">
        <v>1617</v>
      </c>
      <c r="C1241" s="4" t="str">
        <f>HYPERLINK("http://www.rncp.cncp.gouv.fr/grand-public/visualisationFiche?format=fr&amp;fiche=13565","13565")</f>
        <v>13565</v>
      </c>
      <c r="D1241" s="4" t="str">
        <f>HYPERLINK("http://www.intercariforef.org/formations/certification-75516.html","75516")</f>
        <v>75516</v>
      </c>
      <c r="E1241" s="5">
        <v>6804</v>
      </c>
      <c r="F1241" s="5" t="s">
        <v>10</v>
      </c>
      <c r="G1241" s="5" t="s">
        <v>11</v>
      </c>
      <c r="H1241" s="3" t="s">
        <v>788</v>
      </c>
    </row>
    <row r="1242" spans="1:8" ht="13.8" x14ac:dyDescent="0.25">
      <c r="A1242" s="3" t="s">
        <v>1004</v>
      </c>
      <c r="B1242" s="3" t="s">
        <v>1618</v>
      </c>
      <c r="C1242" s="4" t="str">
        <f>HYPERLINK("http://www.rncp.cncp.gouv.fr/grand-public/visualisationFiche?format=fr&amp;fiche=6102","6102")</f>
        <v>6102</v>
      </c>
      <c r="D1242" s="4" t="str">
        <f>HYPERLINK("http://www.intercariforef.org/formations/certification-58060.html","58060")</f>
        <v>58060</v>
      </c>
      <c r="E1242" s="5">
        <v>17405</v>
      </c>
      <c r="F1242" s="5" t="s">
        <v>10</v>
      </c>
      <c r="G1242" s="5" t="s">
        <v>11</v>
      </c>
      <c r="H1242" s="3" t="s">
        <v>954</v>
      </c>
    </row>
    <row r="1243" spans="1:8" ht="27.6" x14ac:dyDescent="0.25">
      <c r="A1243" s="3" t="s">
        <v>1004</v>
      </c>
      <c r="B1243" s="3" t="s">
        <v>1619</v>
      </c>
      <c r="C1243" s="4" t="str">
        <f>HYPERLINK("http://www.rncp.cncp.gouv.fr/grand-public/visualisationFiche?format=fr&amp;fiche=5362","5362")</f>
        <v>5362</v>
      </c>
      <c r="D1243" s="4" t="str">
        <f>HYPERLINK("http://www.intercariforef.org/formations/certification-53563.html","53563")</f>
        <v>53563</v>
      </c>
      <c r="E1243" s="5">
        <v>6873</v>
      </c>
      <c r="F1243" s="5" t="s">
        <v>10</v>
      </c>
      <c r="G1243" s="5" t="s">
        <v>11</v>
      </c>
      <c r="H1243" s="3" t="s">
        <v>514</v>
      </c>
    </row>
    <row r="1244" spans="1:8" ht="27.6" x14ac:dyDescent="0.25">
      <c r="A1244" s="3" t="s">
        <v>1004</v>
      </c>
      <c r="B1244" s="3" t="s">
        <v>1620</v>
      </c>
      <c r="C1244" s="4" t="str">
        <f>HYPERLINK("http://www.rncp.cncp.gouv.fr/grand-public/visualisationFiche?format=fr&amp;fiche=17669","17669")</f>
        <v>17669</v>
      </c>
      <c r="D1244" s="4" t="str">
        <f>HYPERLINK("http://www.intercariforef.org/formations/certification-55149.html","55149")</f>
        <v>55149</v>
      </c>
      <c r="E1244" s="5">
        <v>7106</v>
      </c>
      <c r="F1244" s="5" t="s">
        <v>10</v>
      </c>
      <c r="G1244" s="5" t="s">
        <v>11</v>
      </c>
      <c r="H1244" s="3" t="s">
        <v>1364</v>
      </c>
    </row>
    <row r="1245" spans="1:8" ht="27.6" x14ac:dyDescent="0.25">
      <c r="A1245" s="3" t="s">
        <v>1004</v>
      </c>
      <c r="B1245" s="3" t="s">
        <v>1621</v>
      </c>
      <c r="C1245" s="4" t="str">
        <f>HYPERLINK("http://www.rncp.cncp.gouv.fr/grand-public/visualisationFiche?format=fr&amp;fiche=3625","3625")</f>
        <v>3625</v>
      </c>
      <c r="D1245" s="4" t="str">
        <f>HYPERLINK("http://www.intercariforef.org/formations/certification-17664.html","17664")</f>
        <v>17664</v>
      </c>
      <c r="E1245" s="5">
        <v>6874</v>
      </c>
      <c r="F1245" s="5" t="s">
        <v>10</v>
      </c>
      <c r="G1245" s="5" t="s">
        <v>11</v>
      </c>
      <c r="H1245" s="3" t="s">
        <v>954</v>
      </c>
    </row>
    <row r="1246" spans="1:8" ht="13.8" x14ac:dyDescent="0.25">
      <c r="A1246" s="3" t="s">
        <v>1004</v>
      </c>
      <c r="B1246" s="3" t="s">
        <v>1622</v>
      </c>
      <c r="C1246" s="4" t="str">
        <f>HYPERLINK("http://www.rncp.cncp.gouv.fr/grand-public/visualisationFiche?format=fr&amp;fiche=17900","17900")</f>
        <v>17900</v>
      </c>
      <c r="D1246" s="4" t="str">
        <f>HYPERLINK("http://www.intercariforef.org/formations/certification-17669.html","17669")</f>
        <v>17669</v>
      </c>
      <c r="E1246" s="5">
        <v>6875</v>
      </c>
      <c r="F1246" s="5" t="s">
        <v>10</v>
      </c>
      <c r="G1246" s="5" t="s">
        <v>11</v>
      </c>
      <c r="H1246" s="3" t="s">
        <v>731</v>
      </c>
    </row>
    <row r="1247" spans="1:8" ht="27.6" x14ac:dyDescent="0.25">
      <c r="A1247" s="3" t="s">
        <v>1004</v>
      </c>
      <c r="B1247" s="3" t="s">
        <v>1623</v>
      </c>
      <c r="C1247" s="4" t="str">
        <f>HYPERLINK("http://www.rncp.cncp.gouv.fr/grand-public/visualisationFiche?format=fr&amp;fiche=19774","19774")</f>
        <v>19774</v>
      </c>
      <c r="D1247" s="4" t="str">
        <f>HYPERLINK("http://www.intercariforef.org/formations/certification-17670.html","17670")</f>
        <v>17670</v>
      </c>
      <c r="E1247" s="5">
        <v>7089</v>
      </c>
      <c r="F1247" s="5" t="s">
        <v>10</v>
      </c>
      <c r="G1247" s="5" t="s">
        <v>11</v>
      </c>
      <c r="H1247" s="3" t="s">
        <v>731</v>
      </c>
    </row>
    <row r="1248" spans="1:8" ht="13.8" x14ac:dyDescent="0.25">
      <c r="A1248" s="3" t="s">
        <v>1004</v>
      </c>
      <c r="B1248" s="3" t="s">
        <v>1624</v>
      </c>
      <c r="C1248" s="4" t="str">
        <f>HYPERLINK("http://www.rncp.cncp.gouv.fr/grand-public/visualisationFiche?format=fr&amp;fiche=16507","16507")</f>
        <v>16507</v>
      </c>
      <c r="D1248" s="4" t="str">
        <f>HYPERLINK("http://www.intercariforef.org/formations/certification-42700.html","42700")</f>
        <v>42700</v>
      </c>
      <c r="E1248" s="5">
        <v>6876</v>
      </c>
      <c r="F1248" s="5" t="s">
        <v>10</v>
      </c>
      <c r="G1248" s="5" t="s">
        <v>11</v>
      </c>
      <c r="H1248" s="3" t="s">
        <v>763</v>
      </c>
    </row>
    <row r="1249" spans="1:8" ht="13.8" x14ac:dyDescent="0.25">
      <c r="A1249" s="3" t="s">
        <v>1004</v>
      </c>
      <c r="B1249" s="3" t="s">
        <v>1625</v>
      </c>
      <c r="C1249" s="4" t="str">
        <f>HYPERLINK("http://www.rncp.cncp.gouv.fr/grand-public/visualisationFiche?format=fr&amp;fiche=16232","16232")</f>
        <v>16232</v>
      </c>
      <c r="D1249" s="4" t="str">
        <f>HYPERLINK("http://www.intercariforef.org/formations/certification-71394.html","71394")</f>
        <v>71394</v>
      </c>
      <c r="E1249" s="5">
        <v>7103</v>
      </c>
      <c r="F1249" s="5" t="s">
        <v>10</v>
      </c>
      <c r="G1249" s="5" t="s">
        <v>11</v>
      </c>
      <c r="H1249" s="3" t="s">
        <v>815</v>
      </c>
    </row>
    <row r="1250" spans="1:8" ht="27.6" x14ac:dyDescent="0.25">
      <c r="A1250" s="3" t="s">
        <v>1004</v>
      </c>
      <c r="B1250" s="3" t="s">
        <v>1626</v>
      </c>
      <c r="C1250" s="5"/>
      <c r="D1250" s="4" t="str">
        <f>HYPERLINK("http://www.intercariforef.org/formations/certification-62751.html","62751")</f>
        <v>62751</v>
      </c>
      <c r="E1250" s="5">
        <v>131749</v>
      </c>
      <c r="F1250" s="5" t="s">
        <v>10</v>
      </c>
      <c r="G1250" s="5" t="s">
        <v>11</v>
      </c>
      <c r="H1250" s="3" t="s">
        <v>769</v>
      </c>
    </row>
    <row r="1251" spans="1:8" ht="27.6" x14ac:dyDescent="0.25">
      <c r="A1251" s="3" t="s">
        <v>1004</v>
      </c>
      <c r="B1251" s="3" t="s">
        <v>1627</v>
      </c>
      <c r="C1251" s="4" t="str">
        <f>HYPERLINK("http://www.rncp.cncp.gouv.fr/grand-public/visualisationFiche?format=fr&amp;fiche=5279","5279")</f>
        <v>5279</v>
      </c>
      <c r="D1251" s="4" t="str">
        <f>HYPERLINK("http://www.intercariforef.org/formations/certification-50202.html","50202")</f>
        <v>50202</v>
      </c>
      <c r="E1251" s="5">
        <v>6878</v>
      </c>
      <c r="F1251" s="5" t="s">
        <v>10</v>
      </c>
      <c r="G1251" s="5" t="s">
        <v>11</v>
      </c>
      <c r="H1251" s="3" t="s">
        <v>744</v>
      </c>
    </row>
    <row r="1252" spans="1:8" ht="13.8" x14ac:dyDescent="0.25">
      <c r="A1252" s="3" t="s">
        <v>1004</v>
      </c>
      <c r="B1252" s="3" t="s">
        <v>1628</v>
      </c>
      <c r="C1252" s="4" t="str">
        <f>HYPERLINK("http://www.rncp.cncp.gouv.fr/grand-public/visualisationFiche?format=fr&amp;fiche=4949","4949")</f>
        <v>4949</v>
      </c>
      <c r="D1252" s="4" t="str">
        <f>HYPERLINK("http://www.intercariforef.org/formations/certification-51975.html","51975")</f>
        <v>51975</v>
      </c>
      <c r="E1252" s="5">
        <v>6879</v>
      </c>
      <c r="F1252" s="5" t="s">
        <v>10</v>
      </c>
      <c r="G1252" s="5" t="s">
        <v>11</v>
      </c>
      <c r="H1252" s="3" t="s">
        <v>776</v>
      </c>
    </row>
    <row r="1253" spans="1:8" ht="27.6" x14ac:dyDescent="0.25">
      <c r="A1253" s="3" t="s">
        <v>1004</v>
      </c>
      <c r="B1253" s="3" t="s">
        <v>1629</v>
      </c>
      <c r="C1253" s="4" t="str">
        <f>HYPERLINK("http://www.rncp.cncp.gouv.fr/grand-public/visualisationFiche?format=fr&amp;fiche=17129","17129")</f>
        <v>17129</v>
      </c>
      <c r="D1253" s="4" t="str">
        <f>HYPERLINK("http://www.intercariforef.org/formations/certification-52564.html","52564")</f>
        <v>52564</v>
      </c>
      <c r="E1253" s="5">
        <v>6880</v>
      </c>
      <c r="F1253" s="5" t="s">
        <v>10</v>
      </c>
      <c r="G1253" s="5" t="s">
        <v>11</v>
      </c>
      <c r="H1253" s="3" t="s">
        <v>785</v>
      </c>
    </row>
    <row r="1254" spans="1:8" ht="27.6" x14ac:dyDescent="0.25">
      <c r="A1254" s="3" t="s">
        <v>1004</v>
      </c>
      <c r="B1254" s="3" t="s">
        <v>1629</v>
      </c>
      <c r="C1254" s="5"/>
      <c r="D1254" s="4" t="str">
        <f>HYPERLINK("http://www.intercariforef.org/formations/certification-78947.html","78947")</f>
        <v>78947</v>
      </c>
      <c r="E1254" s="5">
        <v>131750</v>
      </c>
      <c r="F1254" s="5" t="s">
        <v>10</v>
      </c>
      <c r="G1254" s="5" t="s">
        <v>11</v>
      </c>
      <c r="H1254" s="3" t="s">
        <v>1469</v>
      </c>
    </row>
    <row r="1255" spans="1:8" ht="13.8" x14ac:dyDescent="0.25">
      <c r="A1255" s="3" t="s">
        <v>1004</v>
      </c>
      <c r="B1255" s="3" t="s">
        <v>1630</v>
      </c>
      <c r="C1255" s="4" t="str">
        <f>HYPERLINK("http://www.rncp.cncp.gouv.fr/grand-public/visualisationFiche?format=fr&amp;fiche=3206","3206")</f>
        <v>3206</v>
      </c>
      <c r="D1255" s="4" t="str">
        <f>HYPERLINK("http://www.intercariforef.org/formations/certification-17679.html","17679")</f>
        <v>17679</v>
      </c>
      <c r="E1255" s="5">
        <v>131748</v>
      </c>
      <c r="F1255" s="5" t="s">
        <v>10</v>
      </c>
      <c r="G1255" s="5" t="s">
        <v>11</v>
      </c>
      <c r="H1255" s="3" t="s">
        <v>771</v>
      </c>
    </row>
    <row r="1256" spans="1:8" ht="13.8" x14ac:dyDescent="0.25">
      <c r="A1256" s="3" t="s">
        <v>1004</v>
      </c>
      <c r="B1256" s="3" t="s">
        <v>1630</v>
      </c>
      <c r="C1256" s="4" t="str">
        <f>HYPERLINK("http://www.rncp.cncp.gouv.fr/grand-public/visualisationFiche?format=fr&amp;fiche=10313","10313")</f>
        <v>10313</v>
      </c>
      <c r="D1256" s="4" t="str">
        <f>HYPERLINK("http://www.intercariforef.org/formations/certification-69074.html","69074")</f>
        <v>69074</v>
      </c>
      <c r="E1256" s="5">
        <v>131741</v>
      </c>
      <c r="F1256" s="5" t="s">
        <v>10</v>
      </c>
      <c r="G1256" s="5" t="s">
        <v>11</v>
      </c>
      <c r="H1256" s="3" t="s">
        <v>763</v>
      </c>
    </row>
    <row r="1257" spans="1:8" ht="27.6" x14ac:dyDescent="0.25">
      <c r="A1257" s="3" t="s">
        <v>1004</v>
      </c>
      <c r="B1257" s="3" t="s">
        <v>1631</v>
      </c>
      <c r="C1257" s="4" t="str">
        <f>HYPERLINK("http://www.rncp.cncp.gouv.fr/grand-public/visualisationFiche?format=fr&amp;fiche=3517","3517")</f>
        <v>3517</v>
      </c>
      <c r="D1257" s="4" t="str">
        <f>HYPERLINK("http://www.intercariforef.org/formations/certification-17682.html","17682")</f>
        <v>17682</v>
      </c>
      <c r="E1257" s="5">
        <v>7134</v>
      </c>
      <c r="F1257" s="5" t="s">
        <v>10</v>
      </c>
      <c r="G1257" s="5" t="s">
        <v>11</v>
      </c>
      <c r="H1257" s="3" t="s">
        <v>788</v>
      </c>
    </row>
    <row r="1258" spans="1:8" ht="13.8" x14ac:dyDescent="0.25">
      <c r="A1258" s="3" t="s">
        <v>1004</v>
      </c>
      <c r="B1258" s="3" t="s">
        <v>1632</v>
      </c>
      <c r="C1258" s="4" t="str">
        <f>HYPERLINK("http://www.rncp.cncp.gouv.fr/grand-public/visualisationFiche?format=fr&amp;fiche=17561","17561")</f>
        <v>17561</v>
      </c>
      <c r="D1258" s="4" t="str">
        <f>HYPERLINK("http://www.intercariforef.org/formations/certification-55178.html","55178")</f>
        <v>55178</v>
      </c>
      <c r="E1258" s="5">
        <v>6881</v>
      </c>
      <c r="F1258" s="5" t="s">
        <v>10</v>
      </c>
      <c r="G1258" s="5" t="s">
        <v>11</v>
      </c>
      <c r="H1258" s="3" t="s">
        <v>801</v>
      </c>
    </row>
    <row r="1259" spans="1:8" ht="27.6" x14ac:dyDescent="0.25">
      <c r="A1259" s="3" t="s">
        <v>1004</v>
      </c>
      <c r="B1259" s="3" t="s">
        <v>1633</v>
      </c>
      <c r="C1259" s="4" t="str">
        <f>HYPERLINK("http://www.rncp.cncp.gouv.fr/grand-public/visualisationFiche?format=fr&amp;fiche=6113","6113")</f>
        <v>6113</v>
      </c>
      <c r="D1259" s="4" t="str">
        <f>HYPERLINK("http://www.intercariforef.org/formations/certification-55361.html","55361")</f>
        <v>55361</v>
      </c>
      <c r="E1259" s="5">
        <v>6882</v>
      </c>
      <c r="F1259" s="5" t="s">
        <v>10</v>
      </c>
      <c r="G1259" s="5" t="s">
        <v>11</v>
      </c>
      <c r="H1259" s="3" t="s">
        <v>1246</v>
      </c>
    </row>
    <row r="1260" spans="1:8" ht="27.6" x14ac:dyDescent="0.25">
      <c r="A1260" s="3" t="s">
        <v>1004</v>
      </c>
      <c r="B1260" s="3" t="s">
        <v>1634</v>
      </c>
      <c r="C1260" s="4" t="str">
        <f>HYPERLINK("http://www.rncp.cncp.gouv.fr/grand-public/visualisationFiche?format=fr&amp;fiche=11684","11684")</f>
        <v>11684</v>
      </c>
      <c r="D1260" s="4" t="str">
        <f>HYPERLINK("http://www.intercariforef.org/formations/certification-17675.html","17675")</f>
        <v>17675</v>
      </c>
      <c r="E1260" s="5">
        <v>6877</v>
      </c>
      <c r="F1260" s="5" t="s">
        <v>10</v>
      </c>
      <c r="G1260" s="5" t="s">
        <v>11</v>
      </c>
      <c r="H1260" s="3" t="s">
        <v>737</v>
      </c>
    </row>
    <row r="1261" spans="1:8" ht="27.6" x14ac:dyDescent="0.25">
      <c r="A1261" s="3" t="s">
        <v>1004</v>
      </c>
      <c r="B1261" s="3" t="s">
        <v>1635</v>
      </c>
      <c r="C1261" s="4" t="str">
        <f>HYPERLINK("http://www.rncp.cncp.gouv.fr/grand-public/visualisationFiche?format=fr&amp;fiche=10318","10318")</f>
        <v>10318</v>
      </c>
      <c r="D1261" s="4" t="str">
        <f>HYPERLINK("http://www.intercariforef.org/formations/certification-71399.html","71399")</f>
        <v>71399</v>
      </c>
      <c r="E1261" s="5">
        <v>6883</v>
      </c>
      <c r="F1261" s="5" t="s">
        <v>10</v>
      </c>
      <c r="G1261" s="5" t="s">
        <v>11</v>
      </c>
      <c r="H1261" s="3" t="s">
        <v>763</v>
      </c>
    </row>
    <row r="1262" spans="1:8" ht="27.6" x14ac:dyDescent="0.25">
      <c r="A1262" s="3" t="s">
        <v>1004</v>
      </c>
      <c r="B1262" s="3" t="s">
        <v>1636</v>
      </c>
      <c r="C1262" s="4" t="str">
        <f>HYPERLINK("http://www.rncp.cncp.gouv.fr/grand-public/visualisationFiche?format=fr&amp;fiche=5868","5868")</f>
        <v>5868</v>
      </c>
      <c r="D1262" s="4" t="str">
        <f>HYPERLINK("http://www.intercariforef.org/formations/certification-59781.html","59781")</f>
        <v>59781</v>
      </c>
      <c r="E1262" s="5">
        <v>7555</v>
      </c>
      <c r="F1262" s="5" t="s">
        <v>10</v>
      </c>
      <c r="G1262" s="5" t="s">
        <v>11</v>
      </c>
      <c r="H1262" s="3" t="s">
        <v>756</v>
      </c>
    </row>
    <row r="1263" spans="1:8" ht="27.6" x14ac:dyDescent="0.25">
      <c r="A1263" s="3" t="s">
        <v>1004</v>
      </c>
      <c r="B1263" s="3" t="s">
        <v>1637</v>
      </c>
      <c r="C1263" s="4" t="str">
        <f>HYPERLINK("http://www.rncp.cncp.gouv.fr/grand-public/visualisationFiche?format=fr&amp;fiche=14949","14949")</f>
        <v>14949</v>
      </c>
      <c r="D1263" s="4" t="str">
        <f>HYPERLINK("http://www.intercariforef.org/formations/certification-57310.html","57310")</f>
        <v>57310</v>
      </c>
      <c r="E1263" s="5">
        <v>7233</v>
      </c>
      <c r="F1263" s="5" t="s">
        <v>10</v>
      </c>
      <c r="G1263" s="5" t="s">
        <v>11</v>
      </c>
      <c r="H1263" s="3" t="s">
        <v>787</v>
      </c>
    </row>
    <row r="1264" spans="1:8" ht="27.6" x14ac:dyDescent="0.25">
      <c r="A1264" s="3" t="s">
        <v>1004</v>
      </c>
      <c r="B1264" s="3" t="s">
        <v>1637</v>
      </c>
      <c r="C1264" s="4" t="str">
        <f>HYPERLINK("http://www.rncp.cncp.gouv.fr/grand-public/visualisationFiche?format=fr&amp;fiche=7568","7568")</f>
        <v>7568</v>
      </c>
      <c r="D1264" s="4" t="str">
        <f>HYPERLINK("http://www.intercariforef.org/formations/certification-65072.html","65072")</f>
        <v>65072</v>
      </c>
      <c r="E1264" s="5">
        <v>7236</v>
      </c>
      <c r="F1264" s="5" t="s">
        <v>10</v>
      </c>
      <c r="G1264" s="5" t="s">
        <v>11</v>
      </c>
      <c r="H1264" s="3" t="s">
        <v>538</v>
      </c>
    </row>
    <row r="1265" spans="1:8" ht="27.6" x14ac:dyDescent="0.25">
      <c r="A1265" s="3" t="s">
        <v>1004</v>
      </c>
      <c r="B1265" s="3" t="s">
        <v>1637</v>
      </c>
      <c r="C1265" s="4" t="str">
        <f>HYPERLINK("http://www.rncp.cncp.gouv.fr/grand-public/visualisationFiche?format=fr&amp;fiche=14574","14574")</f>
        <v>14574</v>
      </c>
      <c r="D1265" s="4" t="str">
        <f>HYPERLINK("http://www.intercariforef.org/formations/certification-65066.html","65066")</f>
        <v>65066</v>
      </c>
      <c r="E1265" s="5">
        <v>3550</v>
      </c>
      <c r="F1265" s="5" t="s">
        <v>10</v>
      </c>
      <c r="G1265" s="5" t="s">
        <v>11</v>
      </c>
      <c r="H1265" s="3" t="s">
        <v>742</v>
      </c>
    </row>
    <row r="1266" spans="1:8" ht="27.6" x14ac:dyDescent="0.25">
      <c r="A1266" s="3" t="s">
        <v>1004</v>
      </c>
      <c r="B1266" s="3" t="s">
        <v>1637</v>
      </c>
      <c r="C1266" s="4" t="str">
        <f>HYPERLINK("http://www.rncp.cncp.gouv.fr/grand-public/visualisationFiche?format=fr&amp;fiche=6438","6438")</f>
        <v>6438</v>
      </c>
      <c r="D1266" s="4" t="str">
        <f>HYPERLINK("http://www.intercariforef.org/formations/certification-65065.html","65065")</f>
        <v>65065</v>
      </c>
      <c r="E1266" s="5">
        <v>7234</v>
      </c>
      <c r="F1266" s="5" t="s">
        <v>10</v>
      </c>
      <c r="G1266" s="5" t="s">
        <v>11</v>
      </c>
      <c r="H1266" s="3" t="s">
        <v>783</v>
      </c>
    </row>
    <row r="1267" spans="1:8" ht="27.6" x14ac:dyDescent="0.25">
      <c r="A1267" s="3" t="s">
        <v>1004</v>
      </c>
      <c r="B1267" s="3" t="s">
        <v>1637</v>
      </c>
      <c r="C1267" s="5"/>
      <c r="D1267" s="4" t="str">
        <f>HYPERLINK("http://www.intercariforef.org/formations/certification-65067.html","65067")</f>
        <v>65067</v>
      </c>
      <c r="E1267" s="5">
        <v>17501</v>
      </c>
      <c r="F1267" s="5" t="s">
        <v>10</v>
      </c>
      <c r="G1267" s="5" t="s">
        <v>11</v>
      </c>
      <c r="H1267" s="3" t="s">
        <v>744</v>
      </c>
    </row>
    <row r="1268" spans="1:8" ht="27.6" x14ac:dyDescent="0.25">
      <c r="A1268" s="3" t="s">
        <v>1004</v>
      </c>
      <c r="B1268" s="3" t="s">
        <v>1638</v>
      </c>
      <c r="C1268" s="4" t="str">
        <f>HYPERLINK("http://www.rncp.cncp.gouv.fr/grand-public/visualisationFiche?format=fr&amp;fiche=9738","9738")</f>
        <v>9738</v>
      </c>
      <c r="D1268" s="4" t="str">
        <f>HYPERLINK("http://www.intercariforef.org/formations/certification-42778.html","42778")</f>
        <v>42778</v>
      </c>
      <c r="E1268" s="5">
        <v>7232</v>
      </c>
      <c r="F1268" s="5" t="s">
        <v>10</v>
      </c>
      <c r="G1268" s="5" t="s">
        <v>11</v>
      </c>
      <c r="H1268" s="3" t="s">
        <v>763</v>
      </c>
    </row>
    <row r="1269" spans="1:8" ht="27.6" x14ac:dyDescent="0.25">
      <c r="A1269" s="3" t="s">
        <v>1004</v>
      </c>
      <c r="B1269" s="3" t="s">
        <v>1639</v>
      </c>
      <c r="C1269" s="4" t="str">
        <f>HYPERLINK("http://www.rncp.cncp.gouv.fr/grand-public/visualisationFiche?format=fr&amp;fiche=13315","13315")</f>
        <v>13315</v>
      </c>
      <c r="D1269" s="4" t="str">
        <f>HYPERLINK("http://www.intercariforef.org/formations/certification-68945.html","68945")</f>
        <v>68945</v>
      </c>
      <c r="E1269" s="5">
        <v>7244</v>
      </c>
      <c r="F1269" s="5" t="s">
        <v>10</v>
      </c>
      <c r="G1269" s="5" t="s">
        <v>11</v>
      </c>
      <c r="H1269" s="3" t="s">
        <v>746</v>
      </c>
    </row>
    <row r="1270" spans="1:8" ht="13.8" x14ac:dyDescent="0.25">
      <c r="A1270" s="3" t="s">
        <v>1004</v>
      </c>
      <c r="B1270" s="3" t="s">
        <v>1640</v>
      </c>
      <c r="C1270" s="4" t="str">
        <f>HYPERLINK("http://www.rncp.cncp.gouv.fr/grand-public/visualisationFiche?format=fr&amp;fiche=15554","15554")</f>
        <v>15554</v>
      </c>
      <c r="D1270" s="4" t="str">
        <f>HYPERLINK("http://www.intercariforef.org/formations/certification-68908.html","68908")</f>
        <v>68908</v>
      </c>
      <c r="E1270" s="5">
        <v>7560</v>
      </c>
      <c r="F1270" s="5" t="s">
        <v>10</v>
      </c>
      <c r="G1270" s="5" t="s">
        <v>11</v>
      </c>
      <c r="H1270" s="3" t="s">
        <v>776</v>
      </c>
    </row>
    <row r="1271" spans="1:8" ht="27.6" x14ac:dyDescent="0.25">
      <c r="A1271" s="3" t="s">
        <v>1004</v>
      </c>
      <c r="B1271" s="3" t="s">
        <v>1641</v>
      </c>
      <c r="C1271" s="4" t="str">
        <f>HYPERLINK("http://www.rncp.cncp.gouv.fr/grand-public/visualisationFiche?format=fr&amp;fiche=3542","3542")</f>
        <v>3542</v>
      </c>
      <c r="D1271" s="4" t="str">
        <f>HYPERLINK("http://www.intercariforef.org/formations/certification-55241.html","55241")</f>
        <v>55241</v>
      </c>
      <c r="E1271" s="5">
        <v>7248</v>
      </c>
      <c r="F1271" s="5" t="s">
        <v>10</v>
      </c>
      <c r="G1271" s="5" t="s">
        <v>11</v>
      </c>
      <c r="H1271" s="3" t="s">
        <v>789</v>
      </c>
    </row>
    <row r="1272" spans="1:8" ht="13.8" x14ac:dyDescent="0.25">
      <c r="A1272" s="3" t="s">
        <v>1004</v>
      </c>
      <c r="B1272" s="3" t="s">
        <v>1642</v>
      </c>
      <c r="C1272" s="4" t="str">
        <f>HYPERLINK("http://www.rncp.cncp.gouv.fr/grand-public/visualisationFiche?format=fr&amp;fiche=13317","13317")</f>
        <v>13317</v>
      </c>
      <c r="D1272" s="4" t="str">
        <f>HYPERLINK("http://www.intercariforef.org/formations/certification-71490.html","71490")</f>
        <v>71490</v>
      </c>
      <c r="E1272" s="5">
        <v>17500</v>
      </c>
      <c r="F1272" s="5" t="s">
        <v>10</v>
      </c>
      <c r="G1272" s="5" t="s">
        <v>11</v>
      </c>
      <c r="H1272" s="3" t="s">
        <v>746</v>
      </c>
    </row>
    <row r="1273" spans="1:8" ht="13.8" x14ac:dyDescent="0.25">
      <c r="A1273" s="3" t="s">
        <v>1004</v>
      </c>
      <c r="B1273" s="3" t="s">
        <v>1643</v>
      </c>
      <c r="C1273" s="4" t="str">
        <f>HYPERLINK("http://www.rncp.cncp.gouv.fr/grand-public/visualisationFiche?format=fr&amp;fiche=13836","13836")</f>
        <v>13836</v>
      </c>
      <c r="D1273" s="4" t="str">
        <f>HYPERLINK("http://www.intercariforef.org/formations/certification-54853.html","54853")</f>
        <v>54853</v>
      </c>
      <c r="E1273" s="5">
        <v>7242</v>
      </c>
      <c r="F1273" s="5" t="s">
        <v>10</v>
      </c>
      <c r="G1273" s="5" t="s">
        <v>11</v>
      </c>
      <c r="H1273" s="3" t="s">
        <v>746</v>
      </c>
    </row>
    <row r="1274" spans="1:8" ht="27.6" x14ac:dyDescent="0.25">
      <c r="A1274" s="3" t="s">
        <v>1004</v>
      </c>
      <c r="B1274" s="3" t="s">
        <v>1644</v>
      </c>
      <c r="C1274" s="4" t="str">
        <f>HYPERLINK("http://www.rncp.cncp.gouv.fr/grand-public/visualisationFiche?format=fr&amp;fiche=3702","3702")</f>
        <v>3702</v>
      </c>
      <c r="D1274" s="4" t="str">
        <f>HYPERLINK("http://www.intercariforef.org/formations/certification-55155.html","55155")</f>
        <v>55155</v>
      </c>
      <c r="E1274" s="5">
        <v>7295</v>
      </c>
      <c r="F1274" s="5" t="s">
        <v>10</v>
      </c>
      <c r="G1274" s="5" t="s">
        <v>11</v>
      </c>
      <c r="H1274" s="3" t="s">
        <v>776</v>
      </c>
    </row>
    <row r="1275" spans="1:8" ht="27.6" x14ac:dyDescent="0.25">
      <c r="A1275" s="3" t="s">
        <v>1004</v>
      </c>
      <c r="B1275" s="3" t="s">
        <v>1645</v>
      </c>
      <c r="C1275" s="4" t="str">
        <f>HYPERLINK("http://www.rncp.cncp.gouv.fr/grand-public/visualisationFiche?format=fr&amp;fiche=3281","3281")</f>
        <v>3281</v>
      </c>
      <c r="D1275" s="4" t="str">
        <f>HYPERLINK("http://www.intercariforef.org/formations/certification-17734.html","17734")</f>
        <v>17734</v>
      </c>
      <c r="E1275" s="5">
        <v>7539</v>
      </c>
      <c r="F1275" s="5" t="s">
        <v>10</v>
      </c>
      <c r="G1275" s="5" t="s">
        <v>11</v>
      </c>
      <c r="H1275" s="3" t="s">
        <v>934</v>
      </c>
    </row>
    <row r="1276" spans="1:8" ht="27.6" x14ac:dyDescent="0.25">
      <c r="A1276" s="3" t="s">
        <v>1004</v>
      </c>
      <c r="B1276" s="3" t="s">
        <v>1646</v>
      </c>
      <c r="C1276" s="4" t="str">
        <f>HYPERLINK("http://www.rncp.cncp.gouv.fr/grand-public/visualisationFiche?format=fr&amp;fiche=7088","7088")</f>
        <v>7088</v>
      </c>
      <c r="D1276" s="4" t="str">
        <f>HYPERLINK("http://www.intercariforef.org/formations/certification-58858.html","58858")</f>
        <v>58858</v>
      </c>
      <c r="E1276" s="5">
        <v>16453</v>
      </c>
      <c r="F1276" s="5" t="s">
        <v>10</v>
      </c>
      <c r="G1276" s="5" t="s">
        <v>11</v>
      </c>
      <c r="H1276" s="3" t="s">
        <v>739</v>
      </c>
    </row>
    <row r="1277" spans="1:8" ht="27.6" x14ac:dyDescent="0.25">
      <c r="A1277" s="3" t="s">
        <v>1004</v>
      </c>
      <c r="B1277" s="3" t="s">
        <v>1647</v>
      </c>
      <c r="C1277" s="4" t="str">
        <f>HYPERLINK("http://www.rncp.cncp.gouv.fr/grand-public/visualisationFiche?format=fr&amp;fiche=11188","11188")</f>
        <v>11188</v>
      </c>
      <c r="D1277" s="4" t="str">
        <f>HYPERLINK("http://www.intercariforef.org/formations/certification-64188.html","64188")</f>
        <v>64188</v>
      </c>
      <c r="E1277" s="5">
        <v>7238</v>
      </c>
      <c r="F1277" s="5" t="s">
        <v>10</v>
      </c>
      <c r="G1277" s="5" t="s">
        <v>11</v>
      </c>
      <c r="H1277" s="3" t="s">
        <v>934</v>
      </c>
    </row>
    <row r="1278" spans="1:8" ht="13.8" x14ac:dyDescent="0.25">
      <c r="A1278" s="3" t="s">
        <v>1004</v>
      </c>
      <c r="B1278" s="3" t="s">
        <v>1648</v>
      </c>
      <c r="C1278" s="4" t="str">
        <f>HYPERLINK("http://www.rncp.cncp.gouv.fr/grand-public/visualisationFiche?format=fr&amp;fiche=3168","3168")</f>
        <v>3168</v>
      </c>
      <c r="D1278" s="4" t="str">
        <f>HYPERLINK("http://www.intercariforef.org/formations/certification-59206.html","59206")</f>
        <v>59206</v>
      </c>
      <c r="E1278" s="5">
        <v>7551</v>
      </c>
      <c r="F1278" s="5" t="s">
        <v>10</v>
      </c>
      <c r="G1278" s="5" t="s">
        <v>11</v>
      </c>
      <c r="H1278" s="3" t="s">
        <v>801</v>
      </c>
    </row>
    <row r="1279" spans="1:8" ht="27.6" x14ac:dyDescent="0.25">
      <c r="A1279" s="3" t="s">
        <v>1004</v>
      </c>
      <c r="B1279" s="3" t="s">
        <v>1649</v>
      </c>
      <c r="C1279" s="4" t="str">
        <f>HYPERLINK("http://www.rncp.cncp.gouv.fr/grand-public/visualisationFiche?format=fr&amp;fiche=5419","5419")</f>
        <v>5419</v>
      </c>
      <c r="D1279" s="4" t="str">
        <f>HYPERLINK("http://www.intercariforef.org/formations/certification-54951.html","54951")</f>
        <v>54951</v>
      </c>
      <c r="E1279" s="5">
        <v>7570</v>
      </c>
      <c r="F1279" s="5" t="s">
        <v>10</v>
      </c>
      <c r="G1279" s="5" t="s">
        <v>11</v>
      </c>
      <c r="H1279" s="3" t="s">
        <v>1221</v>
      </c>
    </row>
    <row r="1280" spans="1:8" ht="27.6" x14ac:dyDescent="0.25">
      <c r="A1280" s="3" t="s">
        <v>1004</v>
      </c>
      <c r="B1280" s="3" t="s">
        <v>1650</v>
      </c>
      <c r="C1280" s="4" t="str">
        <f>HYPERLINK("http://www.rncp.cncp.gouv.fr/grand-public/visualisationFiche?format=fr&amp;fiche=7533","7533")</f>
        <v>7533</v>
      </c>
      <c r="D1280" s="4" t="str">
        <f>HYPERLINK("http://www.intercariforef.org/formations/certification-59473.html","59473")</f>
        <v>59473</v>
      </c>
      <c r="E1280" s="5">
        <v>7648</v>
      </c>
      <c r="F1280" s="5" t="s">
        <v>10</v>
      </c>
      <c r="G1280" s="5" t="s">
        <v>11</v>
      </c>
      <c r="H1280" s="3" t="s">
        <v>538</v>
      </c>
    </row>
    <row r="1281" spans="1:8" ht="27.6" x14ac:dyDescent="0.25">
      <c r="A1281" s="3" t="s">
        <v>1004</v>
      </c>
      <c r="B1281" s="3" t="s">
        <v>1651</v>
      </c>
      <c r="C1281" s="4" t="str">
        <f>HYPERLINK("http://www.rncp.cncp.gouv.fr/grand-public/visualisationFiche?format=fr&amp;fiche=3623","3623")</f>
        <v>3623</v>
      </c>
      <c r="D1281" s="4" t="str">
        <f>HYPERLINK("http://www.intercariforef.org/formations/certification-17785.html","17785")</f>
        <v>17785</v>
      </c>
      <c r="E1281" s="5">
        <v>7580</v>
      </c>
      <c r="F1281" s="5" t="s">
        <v>10</v>
      </c>
      <c r="G1281" s="5" t="s">
        <v>11</v>
      </c>
      <c r="H1281" s="3" t="s">
        <v>769</v>
      </c>
    </row>
    <row r="1282" spans="1:8" ht="27.6" x14ac:dyDescent="0.25">
      <c r="A1282" s="3" t="s">
        <v>1004</v>
      </c>
      <c r="B1282" s="3" t="s">
        <v>1652</v>
      </c>
      <c r="C1282" s="4" t="str">
        <f>HYPERLINK("http://www.rncp.cncp.gouv.fr/grand-public/visualisationFiche?format=fr&amp;fiche=11598","11598")</f>
        <v>11598</v>
      </c>
      <c r="D1282" s="4" t="str">
        <f>HYPERLINK("http://www.intercariforef.org/formations/certification-53504.html","53504")</f>
        <v>53504</v>
      </c>
      <c r="E1282" s="5">
        <v>7575</v>
      </c>
      <c r="F1282" s="5" t="s">
        <v>10</v>
      </c>
      <c r="G1282" s="5" t="s">
        <v>11</v>
      </c>
      <c r="H1282" s="3" t="s">
        <v>737</v>
      </c>
    </row>
    <row r="1283" spans="1:8" ht="13.8" x14ac:dyDescent="0.25">
      <c r="A1283" s="3" t="s">
        <v>1004</v>
      </c>
      <c r="B1283" s="3" t="s">
        <v>1653</v>
      </c>
      <c r="C1283" s="4" t="str">
        <f>HYPERLINK("http://www.rncp.cncp.gouv.fr/grand-public/visualisationFiche?format=fr&amp;fiche=5236","5236")</f>
        <v>5236</v>
      </c>
      <c r="D1283" s="4" t="str">
        <f>HYPERLINK("http://www.intercariforef.org/formations/certification-42780.html","42780")</f>
        <v>42780</v>
      </c>
      <c r="E1283" s="5">
        <v>150728</v>
      </c>
      <c r="F1283" s="5" t="s">
        <v>10</v>
      </c>
      <c r="G1283" s="5" t="s">
        <v>11</v>
      </c>
      <c r="H1283" s="3" t="s">
        <v>1259</v>
      </c>
    </row>
    <row r="1284" spans="1:8" ht="27.6" x14ac:dyDescent="0.25">
      <c r="A1284" s="3" t="s">
        <v>1004</v>
      </c>
      <c r="B1284" s="3" t="s">
        <v>1654</v>
      </c>
      <c r="C1284" s="4" t="str">
        <f>HYPERLINK("http://www.rncp.cncp.gouv.fr/grand-public/visualisationFiche?format=fr&amp;fiche=7595","7595")</f>
        <v>7595</v>
      </c>
      <c r="D1284" s="4" t="str">
        <f>HYPERLINK("http://www.intercariforef.org/formations/certification-42894.html","42894")</f>
        <v>42894</v>
      </c>
      <c r="E1284" s="5">
        <v>7670</v>
      </c>
      <c r="F1284" s="5" t="s">
        <v>10</v>
      </c>
      <c r="G1284" s="5" t="s">
        <v>11</v>
      </c>
      <c r="H1284" s="3" t="s">
        <v>850</v>
      </c>
    </row>
    <row r="1285" spans="1:8" ht="27.6" x14ac:dyDescent="0.25">
      <c r="A1285" s="3" t="s">
        <v>1004</v>
      </c>
      <c r="B1285" s="3" t="s">
        <v>1655</v>
      </c>
      <c r="C1285" s="4" t="str">
        <f>HYPERLINK("http://www.rncp.cncp.gouv.fr/grand-public/visualisationFiche?format=fr&amp;fiche=5454","5454")</f>
        <v>5454</v>
      </c>
      <c r="D1285" s="4" t="str">
        <f>HYPERLINK("http://www.intercariforef.org/formations/certification-53580.html","53580")</f>
        <v>53580</v>
      </c>
      <c r="E1285" s="5">
        <v>144852</v>
      </c>
      <c r="F1285" s="5" t="s">
        <v>10</v>
      </c>
      <c r="G1285" s="5" t="s">
        <v>11</v>
      </c>
      <c r="H1285" s="3" t="s">
        <v>744</v>
      </c>
    </row>
    <row r="1286" spans="1:8" ht="27.6" x14ac:dyDescent="0.25">
      <c r="A1286" s="3" t="s">
        <v>1004</v>
      </c>
      <c r="B1286" s="3" t="s">
        <v>1656</v>
      </c>
      <c r="C1286" s="4" t="str">
        <f>HYPERLINK("http://www.rncp.cncp.gouv.fr/grand-public/visualisationFiche?format=fr&amp;fiche=11121","11121")</f>
        <v>11121</v>
      </c>
      <c r="D1286" s="4" t="str">
        <f>HYPERLINK("http://www.intercariforef.org/formations/certification-53574.html","53574")</f>
        <v>53574</v>
      </c>
      <c r="E1286" s="5">
        <v>17502</v>
      </c>
      <c r="F1286" s="5" t="s">
        <v>10</v>
      </c>
      <c r="G1286" s="5" t="s">
        <v>11</v>
      </c>
      <c r="H1286" s="3" t="s">
        <v>734</v>
      </c>
    </row>
    <row r="1287" spans="1:8" ht="13.8" x14ac:dyDescent="0.25">
      <c r="A1287" s="3" t="s">
        <v>1004</v>
      </c>
      <c r="B1287" s="3" t="s">
        <v>1657</v>
      </c>
      <c r="C1287" s="5"/>
      <c r="D1287" s="4" t="str">
        <f>HYPERLINK("http://www.intercariforef.org/formations/certification-17827.html","17827")</f>
        <v>17827</v>
      </c>
      <c r="E1287" s="5">
        <v>155039</v>
      </c>
      <c r="F1287" s="5" t="s">
        <v>10</v>
      </c>
      <c r="G1287" s="5" t="s">
        <v>11</v>
      </c>
      <c r="H1287" s="3" t="s">
        <v>753</v>
      </c>
    </row>
    <row r="1288" spans="1:8" ht="13.8" x14ac:dyDescent="0.25">
      <c r="A1288" s="3" t="s">
        <v>1004</v>
      </c>
      <c r="B1288" s="3" t="s">
        <v>1658</v>
      </c>
      <c r="C1288" s="4" t="str">
        <f>HYPERLINK("http://www.rncp.cncp.gouv.fr/grand-public/visualisationFiche?format=fr&amp;fiche=17374","17374")</f>
        <v>17374</v>
      </c>
      <c r="D1288" s="4" t="str">
        <f>HYPERLINK("http://www.intercariforef.org/formations/certification-82219.html","82219")</f>
        <v>82219</v>
      </c>
      <c r="E1288" s="5">
        <v>7673</v>
      </c>
      <c r="F1288" s="5" t="s">
        <v>10</v>
      </c>
      <c r="G1288" s="5" t="s">
        <v>11</v>
      </c>
      <c r="H1288" s="3" t="s">
        <v>1300</v>
      </c>
    </row>
    <row r="1289" spans="1:8" ht="27.6" x14ac:dyDescent="0.25">
      <c r="A1289" s="3" t="s">
        <v>1004</v>
      </c>
      <c r="B1289" s="3" t="s">
        <v>1659</v>
      </c>
      <c r="C1289" s="4" t="str">
        <f>HYPERLINK("http://www.rncp.cncp.gouv.fr/grand-public/visualisationFiche?format=fr&amp;fiche=5179","5179")</f>
        <v>5179</v>
      </c>
      <c r="D1289" s="4" t="str">
        <f>HYPERLINK("http://www.intercariforef.org/formations/certification-42847.html","42847")</f>
        <v>42847</v>
      </c>
      <c r="E1289" s="5">
        <v>7674</v>
      </c>
      <c r="F1289" s="5" t="s">
        <v>10</v>
      </c>
      <c r="G1289" s="5" t="s">
        <v>11</v>
      </c>
      <c r="H1289" s="3" t="s">
        <v>746</v>
      </c>
    </row>
    <row r="1290" spans="1:8" ht="27.6" x14ac:dyDescent="0.25">
      <c r="A1290" s="3" t="s">
        <v>1004</v>
      </c>
      <c r="B1290" s="3" t="s">
        <v>1660</v>
      </c>
      <c r="C1290" s="4" t="str">
        <f>HYPERLINK("http://www.rncp.cncp.gouv.fr/grand-public/visualisationFiche?format=fr&amp;fiche=6395","6395")</f>
        <v>6395</v>
      </c>
      <c r="D1290" s="4" t="str">
        <f>HYPERLINK("http://www.intercariforef.org/formations/certification-58699.html","58699")</f>
        <v>58699</v>
      </c>
      <c r="E1290" s="5">
        <v>7676</v>
      </c>
      <c r="F1290" s="5" t="s">
        <v>10</v>
      </c>
      <c r="G1290" s="5" t="s">
        <v>11</v>
      </c>
      <c r="H1290" s="3" t="s">
        <v>771</v>
      </c>
    </row>
    <row r="1291" spans="1:8" ht="27.6" x14ac:dyDescent="0.25">
      <c r="A1291" s="3" t="s">
        <v>1004</v>
      </c>
      <c r="B1291" s="3" t="s">
        <v>1661</v>
      </c>
      <c r="C1291" s="4" t="str">
        <f>HYPERLINK("http://www.rncp.cncp.gouv.fr/grand-public/visualisationFiche?format=fr&amp;fiche=5253","5253")</f>
        <v>5253</v>
      </c>
      <c r="D1291" s="4" t="str">
        <f>HYPERLINK("http://www.intercariforef.org/formations/certification-42892.html","42892")</f>
        <v>42892</v>
      </c>
      <c r="E1291" s="5">
        <v>7752</v>
      </c>
      <c r="F1291" s="5" t="s">
        <v>10</v>
      </c>
      <c r="G1291" s="5" t="s">
        <v>11</v>
      </c>
      <c r="H1291" s="3" t="s">
        <v>1225</v>
      </c>
    </row>
    <row r="1292" spans="1:8" ht="27.6" x14ac:dyDescent="0.25">
      <c r="A1292" s="3" t="s">
        <v>1004</v>
      </c>
      <c r="B1292" s="3" t="s">
        <v>1662</v>
      </c>
      <c r="C1292" s="4" t="str">
        <f>HYPERLINK("http://www.rncp.cncp.gouv.fr/grand-public/visualisationFiche?format=fr&amp;fiche=3389","3389")</f>
        <v>3389</v>
      </c>
      <c r="D1292" s="4" t="str">
        <f>HYPERLINK("http://www.intercariforef.org/formations/certification-59332.html","59332")</f>
        <v>59332</v>
      </c>
      <c r="E1292" s="5">
        <v>7692</v>
      </c>
      <c r="F1292" s="5" t="s">
        <v>10</v>
      </c>
      <c r="G1292" s="5" t="s">
        <v>11</v>
      </c>
      <c r="H1292" s="3" t="s">
        <v>809</v>
      </c>
    </row>
    <row r="1293" spans="1:8" ht="27.6" x14ac:dyDescent="0.25">
      <c r="A1293" s="3" t="s">
        <v>1004</v>
      </c>
      <c r="B1293" s="3" t="s">
        <v>1663</v>
      </c>
      <c r="C1293" s="4" t="str">
        <f>HYPERLINK("http://www.rncp.cncp.gouv.fr/grand-public/visualisationFiche?format=fr&amp;fiche=18680","18680")</f>
        <v>18680</v>
      </c>
      <c r="D1293" s="4" t="str">
        <f>HYPERLINK("http://www.intercariforef.org/formations/certification-62964.html","62964")</f>
        <v>62964</v>
      </c>
      <c r="E1293" s="5">
        <v>7756</v>
      </c>
      <c r="F1293" s="5" t="s">
        <v>10</v>
      </c>
      <c r="G1293" s="5" t="s">
        <v>11</v>
      </c>
      <c r="H1293" s="3" t="s">
        <v>731</v>
      </c>
    </row>
    <row r="1294" spans="1:8" ht="27.6" x14ac:dyDescent="0.25">
      <c r="A1294" s="3" t="s">
        <v>1004</v>
      </c>
      <c r="B1294" s="3" t="s">
        <v>1664</v>
      </c>
      <c r="C1294" s="4" t="str">
        <f>HYPERLINK("http://www.rncp.cncp.gouv.fr/grand-public/visualisationFiche?format=fr&amp;fiche=3607","3607")</f>
        <v>3607</v>
      </c>
      <c r="D1294" s="4" t="str">
        <f>HYPERLINK("http://www.intercariforef.org/formations/certification-17871.html","17871")</f>
        <v>17871</v>
      </c>
      <c r="E1294" s="5">
        <v>7679</v>
      </c>
      <c r="F1294" s="5" t="s">
        <v>10</v>
      </c>
      <c r="G1294" s="5" t="s">
        <v>11</v>
      </c>
      <c r="H1294" s="3" t="s">
        <v>845</v>
      </c>
    </row>
    <row r="1295" spans="1:8" ht="27.6" x14ac:dyDescent="0.25">
      <c r="A1295" s="3" t="s">
        <v>1004</v>
      </c>
      <c r="B1295" s="3" t="s">
        <v>1665</v>
      </c>
      <c r="C1295" s="4" t="str">
        <f>HYPERLINK("http://www.rncp.cncp.gouv.fr/grand-public/visualisationFiche?format=fr&amp;fiche=15137","15137")</f>
        <v>15137</v>
      </c>
      <c r="D1295" s="4" t="str">
        <f>HYPERLINK("http://www.intercariforef.org/formations/certification-78989.html","78989")</f>
        <v>78989</v>
      </c>
      <c r="E1295" s="5">
        <v>7886</v>
      </c>
      <c r="F1295" s="5" t="s">
        <v>10</v>
      </c>
      <c r="G1295" s="5" t="s">
        <v>11</v>
      </c>
      <c r="H1295" s="3" t="s">
        <v>34</v>
      </c>
    </row>
    <row r="1296" spans="1:8" ht="27.6" x14ac:dyDescent="0.25">
      <c r="A1296" s="3" t="s">
        <v>1004</v>
      </c>
      <c r="B1296" s="3" t="s">
        <v>1666</v>
      </c>
      <c r="C1296" s="4" t="str">
        <f>HYPERLINK("http://www.rncp.cncp.gouv.fr/grand-public/visualisationFiche?format=fr&amp;fiche=3879","3879")</f>
        <v>3879</v>
      </c>
      <c r="D1296" s="4" t="str">
        <f>HYPERLINK("http://www.intercariforef.org/formations/certification-61385.html","61385")</f>
        <v>61385</v>
      </c>
      <c r="E1296" s="5">
        <v>7759</v>
      </c>
      <c r="F1296" s="5" t="s">
        <v>10</v>
      </c>
      <c r="G1296" s="5" t="s">
        <v>11</v>
      </c>
      <c r="H1296" s="3" t="s">
        <v>899</v>
      </c>
    </row>
    <row r="1297" spans="1:8" ht="27.6" x14ac:dyDescent="0.25">
      <c r="A1297" s="3" t="s">
        <v>1004</v>
      </c>
      <c r="B1297" s="3" t="s">
        <v>1667</v>
      </c>
      <c r="C1297" s="4" t="str">
        <f>HYPERLINK("http://www.rncp.cncp.gouv.fr/grand-public/visualisationFiche?format=fr&amp;fiche=17659","17659")</f>
        <v>17659</v>
      </c>
      <c r="D1297" s="4" t="str">
        <f>HYPERLINK("http://www.intercariforef.org/formations/certification-61607.html","61607")</f>
        <v>61607</v>
      </c>
      <c r="E1297" s="5">
        <v>7762</v>
      </c>
      <c r="F1297" s="5" t="s">
        <v>10</v>
      </c>
      <c r="G1297" s="5" t="s">
        <v>11</v>
      </c>
      <c r="H1297" s="3" t="s">
        <v>1364</v>
      </c>
    </row>
    <row r="1298" spans="1:8" ht="27.6" x14ac:dyDescent="0.25">
      <c r="A1298" s="3" t="s">
        <v>1004</v>
      </c>
      <c r="B1298" s="3" t="s">
        <v>1668</v>
      </c>
      <c r="C1298" s="4" t="str">
        <f>HYPERLINK("http://www.rncp.cncp.gouv.fr/grand-public/visualisationFiche?format=fr&amp;fiche=14686","14686")</f>
        <v>14686</v>
      </c>
      <c r="D1298" s="4" t="str">
        <f>HYPERLINK("http://www.intercariforef.org/formations/certification-63377.html","63377")</f>
        <v>63377</v>
      </c>
      <c r="E1298" s="5">
        <v>3552</v>
      </c>
      <c r="F1298" s="5" t="s">
        <v>10</v>
      </c>
      <c r="G1298" s="5" t="s">
        <v>11</v>
      </c>
      <c r="H1298" s="3" t="s">
        <v>742</v>
      </c>
    </row>
    <row r="1299" spans="1:8" ht="27.6" x14ac:dyDescent="0.25">
      <c r="A1299" s="3" t="s">
        <v>1004</v>
      </c>
      <c r="B1299" s="3" t="s">
        <v>1669</v>
      </c>
      <c r="C1299" s="5"/>
      <c r="D1299" s="4" t="str">
        <f>HYPERLINK("http://www.intercariforef.org/formations/certification-69815.html","69815")</f>
        <v>69815</v>
      </c>
      <c r="E1299" s="5">
        <v>7763</v>
      </c>
      <c r="F1299" s="5" t="s">
        <v>10</v>
      </c>
      <c r="G1299" s="5" t="s">
        <v>11</v>
      </c>
      <c r="H1299" s="3" t="s">
        <v>965</v>
      </c>
    </row>
    <row r="1300" spans="1:8" ht="27.6" x14ac:dyDescent="0.25">
      <c r="A1300" s="3" t="s">
        <v>1004</v>
      </c>
      <c r="B1300" s="3" t="s">
        <v>1670</v>
      </c>
      <c r="C1300" s="4" t="str">
        <f>HYPERLINK("http://www.rncp.cncp.gouv.fr/grand-public/visualisationFiche?format=fr&amp;fiche=11619","11619")</f>
        <v>11619</v>
      </c>
      <c r="D1300" s="4" t="str">
        <f>HYPERLINK("http://www.intercariforef.org/formations/certification-52519.html","52519")</f>
        <v>52519</v>
      </c>
      <c r="E1300" s="5">
        <v>3560</v>
      </c>
      <c r="F1300" s="5" t="s">
        <v>10</v>
      </c>
      <c r="G1300" s="5" t="s">
        <v>11</v>
      </c>
      <c r="H1300" s="3" t="s">
        <v>737</v>
      </c>
    </row>
    <row r="1301" spans="1:8" ht="27.6" x14ac:dyDescent="0.25">
      <c r="A1301" s="3" t="s">
        <v>1004</v>
      </c>
      <c r="B1301" s="3" t="s">
        <v>1671</v>
      </c>
      <c r="C1301" s="4" t="str">
        <f>HYPERLINK("http://www.rncp.cncp.gouv.fr/grand-public/visualisationFiche?format=fr&amp;fiche=7594","7594")</f>
        <v>7594</v>
      </c>
      <c r="D1301" s="4" t="str">
        <f>HYPERLINK("http://www.intercariforef.org/formations/certification-58812.html","58812")</f>
        <v>58812</v>
      </c>
      <c r="E1301" s="5">
        <v>7743</v>
      </c>
      <c r="F1301" s="5" t="s">
        <v>10</v>
      </c>
      <c r="G1301" s="5" t="s">
        <v>11</v>
      </c>
      <c r="H1301" s="3" t="s">
        <v>850</v>
      </c>
    </row>
    <row r="1302" spans="1:8" ht="27.6" x14ac:dyDescent="0.25">
      <c r="A1302" s="3" t="s">
        <v>1004</v>
      </c>
      <c r="B1302" s="3" t="s">
        <v>1672</v>
      </c>
      <c r="C1302" s="4" t="str">
        <f>HYPERLINK("http://www.rncp.cncp.gouv.fr/grand-public/visualisationFiche?format=fr&amp;fiche=5284","5284")</f>
        <v>5284</v>
      </c>
      <c r="D1302" s="4" t="str">
        <f>HYPERLINK("http://www.intercariforef.org/formations/certification-42648.html","42648")</f>
        <v>42648</v>
      </c>
      <c r="E1302" s="5">
        <v>17506</v>
      </c>
      <c r="F1302" s="5" t="s">
        <v>10</v>
      </c>
      <c r="G1302" s="5" t="s">
        <v>11</v>
      </c>
      <c r="H1302" s="3" t="s">
        <v>726</v>
      </c>
    </row>
    <row r="1303" spans="1:8" ht="27.6" x14ac:dyDescent="0.25">
      <c r="A1303" s="3" t="s">
        <v>1004</v>
      </c>
      <c r="B1303" s="3" t="s">
        <v>1673</v>
      </c>
      <c r="C1303" s="5"/>
      <c r="D1303" s="4" t="str">
        <f>HYPERLINK("http://www.intercariforef.org/formations/certification-57305.html","57305")</f>
        <v>57305</v>
      </c>
      <c r="E1303" s="5">
        <v>17507</v>
      </c>
      <c r="F1303" s="5" t="s">
        <v>10</v>
      </c>
      <c r="G1303" s="5" t="s">
        <v>11</v>
      </c>
      <c r="H1303" s="3" t="s">
        <v>787</v>
      </c>
    </row>
    <row r="1304" spans="1:8" ht="27.6" x14ac:dyDescent="0.25">
      <c r="A1304" s="3" t="s">
        <v>1004</v>
      </c>
      <c r="B1304" s="3" t="s">
        <v>1674</v>
      </c>
      <c r="C1304" s="5"/>
      <c r="D1304" s="4" t="str">
        <f>HYPERLINK("http://www.intercariforef.org/formations/certification-60184.html","60184")</f>
        <v>60184</v>
      </c>
      <c r="E1304" s="5">
        <v>17508</v>
      </c>
      <c r="F1304" s="5" t="s">
        <v>10</v>
      </c>
      <c r="G1304" s="5" t="s">
        <v>11</v>
      </c>
      <c r="H1304" s="3" t="s">
        <v>785</v>
      </c>
    </row>
    <row r="1305" spans="1:8" ht="27.6" x14ac:dyDescent="0.25">
      <c r="A1305" s="3" t="s">
        <v>1004</v>
      </c>
      <c r="B1305" s="3" t="s">
        <v>1675</v>
      </c>
      <c r="C1305" s="4" t="str">
        <f>HYPERLINK("http://www.rncp.cncp.gouv.fr/grand-public/visualisationFiche?format=fr&amp;fiche=3500","3500")</f>
        <v>3500</v>
      </c>
      <c r="D1305" s="4" t="str">
        <f>HYPERLINK("http://www.intercariforef.org/formations/certification-76700.html","76700")</f>
        <v>76700</v>
      </c>
      <c r="E1305" s="5">
        <v>7699</v>
      </c>
      <c r="F1305" s="5" t="s">
        <v>10</v>
      </c>
      <c r="G1305" s="5" t="s">
        <v>11</v>
      </c>
      <c r="H1305" s="3" t="s">
        <v>779</v>
      </c>
    </row>
    <row r="1306" spans="1:8" ht="27.6" x14ac:dyDescent="0.25">
      <c r="A1306" s="3" t="s">
        <v>1004</v>
      </c>
      <c r="B1306" s="3" t="s">
        <v>1675</v>
      </c>
      <c r="C1306" s="4" t="str">
        <f>HYPERLINK("http://www.rncp.cncp.gouv.fr/grand-public/visualisationFiche?format=fr&amp;fiche=3500","3500")</f>
        <v>3500</v>
      </c>
      <c r="D1306" s="4" t="str">
        <f>HYPERLINK("http://www.intercariforef.org/formations/certification-64875.html","64875")</f>
        <v>64875</v>
      </c>
      <c r="E1306" s="5">
        <v>7696</v>
      </c>
      <c r="F1306" s="5" t="s">
        <v>10</v>
      </c>
      <c r="G1306" s="5" t="s">
        <v>11</v>
      </c>
      <c r="H1306" s="3" t="s">
        <v>1259</v>
      </c>
    </row>
    <row r="1307" spans="1:8" ht="27.6" x14ac:dyDescent="0.25">
      <c r="A1307" s="3" t="s">
        <v>1004</v>
      </c>
      <c r="B1307" s="3" t="s">
        <v>1676</v>
      </c>
      <c r="C1307" s="4" t="str">
        <f>HYPERLINK("http://www.rncp.cncp.gouv.fr/grand-public/visualisationFiche?format=fr&amp;fiche=16632","16632")</f>
        <v>16632</v>
      </c>
      <c r="D1307" s="4" t="str">
        <f>HYPERLINK("http://www.intercariforef.org/formations/certification-64889.html","64889")</f>
        <v>64889</v>
      </c>
      <c r="E1307" s="5">
        <v>7806</v>
      </c>
      <c r="F1307" s="5" t="s">
        <v>10</v>
      </c>
      <c r="G1307" s="5" t="s">
        <v>11</v>
      </c>
      <c r="H1307" s="3" t="s">
        <v>112</v>
      </c>
    </row>
    <row r="1308" spans="1:8" ht="27.6" x14ac:dyDescent="0.25">
      <c r="A1308" s="3" t="s">
        <v>1004</v>
      </c>
      <c r="B1308" s="3" t="s">
        <v>1677</v>
      </c>
      <c r="C1308" s="4" t="str">
        <f>HYPERLINK("http://www.rncp.cncp.gouv.fr/grand-public/visualisationFiche?format=fr&amp;fiche=3596","3596")</f>
        <v>3596</v>
      </c>
      <c r="D1308" s="4" t="str">
        <f>HYPERLINK("http://www.intercariforef.org/formations/certification-69014.html","69014")</f>
        <v>69014</v>
      </c>
      <c r="E1308" s="5">
        <v>7807</v>
      </c>
      <c r="F1308" s="5" t="s">
        <v>10</v>
      </c>
      <c r="G1308" s="5" t="s">
        <v>11</v>
      </c>
      <c r="H1308" s="3" t="s">
        <v>756</v>
      </c>
    </row>
    <row r="1309" spans="1:8" ht="27.6" x14ac:dyDescent="0.25">
      <c r="A1309" s="3" t="s">
        <v>1004</v>
      </c>
      <c r="B1309" s="3" t="s">
        <v>1678</v>
      </c>
      <c r="C1309" s="4" t="str">
        <f>HYPERLINK("http://www.rncp.cncp.gouv.fr/grand-public/visualisationFiche?format=fr&amp;fiche=10315","10315")</f>
        <v>10315</v>
      </c>
      <c r="D1309" s="4" t="str">
        <f>HYPERLINK("http://www.intercariforef.org/formations/certification-17883.html","17883")</f>
        <v>17883</v>
      </c>
      <c r="E1309" s="5">
        <v>3502</v>
      </c>
      <c r="F1309" s="5" t="s">
        <v>10</v>
      </c>
      <c r="G1309" s="5" t="s">
        <v>11</v>
      </c>
      <c r="H1309" s="3" t="s">
        <v>763</v>
      </c>
    </row>
    <row r="1310" spans="1:8" ht="27.6" x14ac:dyDescent="0.25">
      <c r="A1310" s="3" t="s">
        <v>1004</v>
      </c>
      <c r="B1310" s="3" t="s">
        <v>1679</v>
      </c>
      <c r="C1310" s="4" t="str">
        <f>HYPERLINK("http://www.rncp.cncp.gouv.fr/grand-public/visualisationFiche?format=fr&amp;fiche=21458","21458")</f>
        <v>21458</v>
      </c>
      <c r="D1310" s="4" t="str">
        <f>HYPERLINK("http://www.intercariforef.org/formations/certification-71432.html","71432")</f>
        <v>71432</v>
      </c>
      <c r="E1310" s="5">
        <v>17505</v>
      </c>
      <c r="F1310" s="5" t="s">
        <v>10</v>
      </c>
      <c r="G1310" s="5" t="s">
        <v>11</v>
      </c>
      <c r="H1310" s="3" t="s">
        <v>1680</v>
      </c>
    </row>
    <row r="1311" spans="1:8" ht="27.6" x14ac:dyDescent="0.25">
      <c r="A1311" s="3" t="s">
        <v>1004</v>
      </c>
      <c r="B1311" s="3" t="s">
        <v>1681</v>
      </c>
      <c r="C1311" s="4" t="str">
        <f>HYPERLINK("http://www.rncp.cncp.gouv.fr/grand-public/visualisationFiche?format=fr&amp;fiche=5533","5533")</f>
        <v>5533</v>
      </c>
      <c r="D1311" s="4" t="str">
        <f>HYPERLINK("http://www.intercariforef.org/formations/certification-54433.html","54433")</f>
        <v>54433</v>
      </c>
      <c r="E1311" s="5">
        <v>7809</v>
      </c>
      <c r="F1311" s="5" t="s">
        <v>10</v>
      </c>
      <c r="G1311" s="5" t="s">
        <v>11</v>
      </c>
      <c r="H1311" s="3" t="s">
        <v>963</v>
      </c>
    </row>
    <row r="1312" spans="1:8" ht="27.6" x14ac:dyDescent="0.25">
      <c r="A1312" s="3" t="s">
        <v>1004</v>
      </c>
      <c r="B1312" s="3" t="s">
        <v>1682</v>
      </c>
      <c r="C1312" s="5"/>
      <c r="D1312" s="4" t="str">
        <f>HYPERLINK("http://www.intercariforef.org/formations/certification-78696.html","78696")</f>
        <v>78696</v>
      </c>
      <c r="E1312" s="5">
        <v>17503</v>
      </c>
      <c r="F1312" s="5" t="s">
        <v>10</v>
      </c>
      <c r="G1312" s="5" t="s">
        <v>11</v>
      </c>
      <c r="H1312" s="3" t="s">
        <v>112</v>
      </c>
    </row>
    <row r="1313" spans="1:8" ht="27.6" x14ac:dyDescent="0.25">
      <c r="A1313" s="3" t="s">
        <v>1004</v>
      </c>
      <c r="B1313" s="3" t="s">
        <v>1683</v>
      </c>
      <c r="C1313" s="4" t="str">
        <f>HYPERLINK("http://www.rncp.cncp.gouv.fr/grand-public/visualisationFiche?format=fr&amp;fiche=7578","7578")</f>
        <v>7578</v>
      </c>
      <c r="D1313" s="4" t="str">
        <f>HYPERLINK("http://www.intercariforef.org/formations/certification-65081.html","65081")</f>
        <v>65081</v>
      </c>
      <c r="E1313" s="5">
        <v>7681</v>
      </c>
      <c r="F1313" s="5" t="s">
        <v>10</v>
      </c>
      <c r="G1313" s="5" t="s">
        <v>11</v>
      </c>
      <c r="H1313" s="3" t="s">
        <v>538</v>
      </c>
    </row>
    <row r="1314" spans="1:8" ht="27.6" x14ac:dyDescent="0.25">
      <c r="A1314" s="3" t="s">
        <v>1004</v>
      </c>
      <c r="B1314" s="3" t="s">
        <v>1683</v>
      </c>
      <c r="C1314" s="4" t="str">
        <f>HYPERLINK("http://www.rncp.cncp.gouv.fr/grand-public/visualisationFiche?format=fr&amp;fiche=5342","5342")</f>
        <v>5342</v>
      </c>
      <c r="D1314" s="4" t="str">
        <f>HYPERLINK("http://www.intercariforef.org/formations/certification-65082.html","65082")</f>
        <v>65082</v>
      </c>
      <c r="E1314" s="5">
        <v>7702</v>
      </c>
      <c r="F1314" s="5" t="s">
        <v>10</v>
      </c>
      <c r="G1314" s="5" t="s">
        <v>11</v>
      </c>
      <c r="H1314" s="3" t="s">
        <v>1259</v>
      </c>
    </row>
    <row r="1315" spans="1:8" ht="27.6" x14ac:dyDescent="0.25">
      <c r="A1315" s="3" t="s">
        <v>1004</v>
      </c>
      <c r="B1315" s="3" t="s">
        <v>1684</v>
      </c>
      <c r="C1315" s="4" t="str">
        <f>HYPERLINK("http://www.rncp.cncp.gouv.fr/grand-public/visualisationFiche?format=fr&amp;fiche=11193","11193")</f>
        <v>11193</v>
      </c>
      <c r="D1315" s="4" t="str">
        <f>HYPERLINK("http://www.intercariforef.org/formations/certification-71475.html","71475")</f>
        <v>71475</v>
      </c>
      <c r="E1315" s="5">
        <v>7865</v>
      </c>
      <c r="F1315" s="5" t="s">
        <v>10</v>
      </c>
      <c r="G1315" s="5" t="s">
        <v>11</v>
      </c>
      <c r="H1315" s="3" t="s">
        <v>934</v>
      </c>
    </row>
    <row r="1316" spans="1:8" ht="27.6" x14ac:dyDescent="0.25">
      <c r="A1316" s="3" t="s">
        <v>1004</v>
      </c>
      <c r="B1316" s="3" t="s">
        <v>1685</v>
      </c>
      <c r="C1316" s="4" t="str">
        <f>HYPERLINK("http://www.rncp.cncp.gouv.fr/grand-public/visualisationFiche?format=fr&amp;fiche=6312","6312")</f>
        <v>6312</v>
      </c>
      <c r="D1316" s="4" t="str">
        <f>HYPERLINK("http://www.intercariforef.org/formations/certification-62819.html","62819")</f>
        <v>62819</v>
      </c>
      <c r="E1316" s="5">
        <v>7828</v>
      </c>
      <c r="F1316" s="5" t="s">
        <v>10</v>
      </c>
      <c r="G1316" s="5" t="s">
        <v>11</v>
      </c>
      <c r="H1316" s="3" t="s">
        <v>750</v>
      </c>
    </row>
    <row r="1317" spans="1:8" ht="27.6" x14ac:dyDescent="0.25">
      <c r="A1317" s="3" t="s">
        <v>1004</v>
      </c>
      <c r="B1317" s="3" t="s">
        <v>1686</v>
      </c>
      <c r="C1317" s="4" t="str">
        <f>HYPERLINK("http://www.rncp.cncp.gouv.fr/grand-public/visualisationFiche?format=fr&amp;fiche=3272","3272")</f>
        <v>3272</v>
      </c>
      <c r="D1317" s="4" t="str">
        <f>HYPERLINK("http://www.intercariforef.org/formations/certification-53805.html","53805")</f>
        <v>53805</v>
      </c>
      <c r="E1317" s="5">
        <v>7707</v>
      </c>
      <c r="F1317" s="5" t="s">
        <v>10</v>
      </c>
      <c r="G1317" s="5" t="s">
        <v>11</v>
      </c>
      <c r="H1317" s="3" t="s">
        <v>810</v>
      </c>
    </row>
    <row r="1318" spans="1:8" ht="13.8" x14ac:dyDescent="0.25">
      <c r="A1318" s="3" t="s">
        <v>1004</v>
      </c>
      <c r="B1318" s="3" t="s">
        <v>1687</v>
      </c>
      <c r="C1318" s="4" t="str">
        <f>HYPERLINK("http://www.rncp.cncp.gouv.fr/grand-public/visualisationFiche?format=fr&amp;fiche=3567","3567")</f>
        <v>3567</v>
      </c>
      <c r="D1318" s="4" t="str">
        <f>HYPERLINK("http://www.intercariforef.org/formations/certification-55426.html","55426")</f>
        <v>55426</v>
      </c>
      <c r="E1318" s="5">
        <v>7708</v>
      </c>
      <c r="F1318" s="5" t="s">
        <v>10</v>
      </c>
      <c r="G1318" s="5" t="s">
        <v>11</v>
      </c>
      <c r="H1318" s="3" t="s">
        <v>892</v>
      </c>
    </row>
    <row r="1319" spans="1:8" ht="27.6" x14ac:dyDescent="0.25">
      <c r="A1319" s="3" t="s">
        <v>1004</v>
      </c>
      <c r="B1319" s="3" t="s">
        <v>1688</v>
      </c>
      <c r="C1319" s="4" t="str">
        <f>HYPERLINK("http://www.rncp.cncp.gouv.fr/grand-public/visualisationFiche?format=fr&amp;fiche=7091","7091")</f>
        <v>7091</v>
      </c>
      <c r="D1319" s="4" t="str">
        <f>HYPERLINK("http://www.intercariforef.org/formations/certification-58884.html","58884")</f>
        <v>58884</v>
      </c>
      <c r="E1319" s="5">
        <v>3553</v>
      </c>
      <c r="F1319" s="5" t="s">
        <v>10</v>
      </c>
      <c r="G1319" s="5" t="s">
        <v>11</v>
      </c>
      <c r="H1319" s="3" t="s">
        <v>739</v>
      </c>
    </row>
    <row r="1320" spans="1:8" ht="27.6" x14ac:dyDescent="0.25">
      <c r="A1320" s="3" t="s">
        <v>1004</v>
      </c>
      <c r="B1320" s="3" t="s">
        <v>1689</v>
      </c>
      <c r="C1320" s="4" t="str">
        <f>HYPERLINK("http://www.rncp.cncp.gouv.fr/grand-public/visualisationFiche?format=fr&amp;fiche=7065","7065")</f>
        <v>7065</v>
      </c>
      <c r="D1320" s="4" t="str">
        <f>HYPERLINK("http://www.intercariforef.org/formations/certification-58863.html","58863")</f>
        <v>58863</v>
      </c>
      <c r="E1320" s="5">
        <v>16452</v>
      </c>
      <c r="F1320" s="5" t="s">
        <v>10</v>
      </c>
      <c r="G1320" s="5" t="s">
        <v>11</v>
      </c>
      <c r="H1320" s="3" t="s">
        <v>739</v>
      </c>
    </row>
    <row r="1321" spans="1:8" ht="27.6" x14ac:dyDescent="0.25">
      <c r="A1321" s="3" t="s">
        <v>1004</v>
      </c>
      <c r="B1321" s="3" t="s">
        <v>1690</v>
      </c>
      <c r="C1321" s="4" t="str">
        <f>HYPERLINK("http://www.rncp.cncp.gouv.fr/grand-public/visualisationFiche?format=fr&amp;fiche=3712","3712")</f>
        <v>3712</v>
      </c>
      <c r="D1321" s="4" t="str">
        <f>HYPERLINK("http://www.intercariforef.org/formations/certification-54444.html","54444")</f>
        <v>54444</v>
      </c>
      <c r="E1321" s="5">
        <v>7792</v>
      </c>
      <c r="F1321" s="5" t="s">
        <v>10</v>
      </c>
      <c r="G1321" s="5" t="s">
        <v>11</v>
      </c>
      <c r="H1321" s="3" t="s">
        <v>963</v>
      </c>
    </row>
    <row r="1322" spans="1:8" ht="27.6" x14ac:dyDescent="0.25">
      <c r="A1322" s="3" t="s">
        <v>1004</v>
      </c>
      <c r="B1322" s="3" t="s">
        <v>1691</v>
      </c>
      <c r="C1322" s="4" t="str">
        <f>HYPERLINK("http://www.rncp.cncp.gouv.fr/grand-public/visualisationFiche?format=fr&amp;fiche=3142","3142")</f>
        <v>3142</v>
      </c>
      <c r="D1322" s="4" t="str">
        <f>HYPERLINK("http://www.intercariforef.org/formations/certification-58759.html","58759")</f>
        <v>58759</v>
      </c>
      <c r="E1322" s="5">
        <v>7845</v>
      </c>
      <c r="F1322" s="5" t="s">
        <v>10</v>
      </c>
      <c r="G1322" s="5" t="s">
        <v>11</v>
      </c>
      <c r="H1322" s="3" t="s">
        <v>750</v>
      </c>
    </row>
    <row r="1323" spans="1:8" ht="27.6" x14ac:dyDescent="0.25">
      <c r="A1323" s="3" t="s">
        <v>1004</v>
      </c>
      <c r="B1323" s="3" t="s">
        <v>1692</v>
      </c>
      <c r="C1323" s="4" t="str">
        <f>HYPERLINK("http://www.rncp.cncp.gouv.fr/grand-public/visualisationFiche?format=fr&amp;fiche=5255","5255")</f>
        <v>5255</v>
      </c>
      <c r="D1323" s="4" t="str">
        <f>HYPERLINK("http://www.intercariforef.org/formations/certification-42893.html","42893")</f>
        <v>42893</v>
      </c>
      <c r="E1323" s="5">
        <v>7851</v>
      </c>
      <c r="F1323" s="5" t="s">
        <v>10</v>
      </c>
      <c r="G1323" s="5" t="s">
        <v>11</v>
      </c>
      <c r="H1323" s="3" t="s">
        <v>1225</v>
      </c>
    </row>
    <row r="1324" spans="1:8" ht="27.6" x14ac:dyDescent="0.25">
      <c r="A1324" s="3" t="s">
        <v>1004</v>
      </c>
      <c r="B1324" s="3" t="s">
        <v>1693</v>
      </c>
      <c r="C1324" s="5"/>
      <c r="D1324" s="4" t="str">
        <f>HYPERLINK("http://www.intercariforef.org/formations/certification-83319.html","83319")</f>
        <v>83319</v>
      </c>
      <c r="E1324" s="5">
        <v>7767</v>
      </c>
      <c r="F1324" s="5" t="s">
        <v>10</v>
      </c>
      <c r="G1324" s="5" t="s">
        <v>11</v>
      </c>
      <c r="H1324" s="3" t="s">
        <v>1045</v>
      </c>
    </row>
    <row r="1325" spans="1:8" ht="13.8" x14ac:dyDescent="0.25">
      <c r="A1325" s="3" t="s">
        <v>1004</v>
      </c>
      <c r="B1325" s="3" t="s">
        <v>1694</v>
      </c>
      <c r="C1325" s="4" t="str">
        <f>HYPERLINK("http://www.rncp.cncp.gouv.fr/grand-public/visualisationFiche?format=fr&amp;fiche=3207","3207")</f>
        <v>3207</v>
      </c>
      <c r="D1325" s="4" t="str">
        <f>HYPERLINK("http://www.intercariforef.org/formations/certification-17911.html","17911")</f>
        <v>17911</v>
      </c>
      <c r="E1325" s="5">
        <v>7715</v>
      </c>
      <c r="F1325" s="5" t="s">
        <v>10</v>
      </c>
      <c r="G1325" s="5" t="s">
        <v>11</v>
      </c>
      <c r="H1325" s="3" t="s">
        <v>771</v>
      </c>
    </row>
    <row r="1326" spans="1:8" ht="27.6" x14ac:dyDescent="0.25">
      <c r="A1326" s="3" t="s">
        <v>1004</v>
      </c>
      <c r="B1326" s="3" t="s">
        <v>1695</v>
      </c>
      <c r="C1326" s="4" t="str">
        <f>HYPERLINK("http://www.rncp.cncp.gouv.fr/grand-public/visualisationFiche?format=fr&amp;fiche=7591","7591")</f>
        <v>7591</v>
      </c>
      <c r="D1326" s="4" t="str">
        <f>HYPERLINK("http://www.intercariforef.org/formations/certification-50069.html","50069")</f>
        <v>50069</v>
      </c>
      <c r="E1326" s="5">
        <v>7749</v>
      </c>
      <c r="F1326" s="5" t="s">
        <v>10</v>
      </c>
      <c r="G1326" s="5" t="s">
        <v>11</v>
      </c>
      <c r="H1326" s="3" t="s">
        <v>850</v>
      </c>
    </row>
    <row r="1327" spans="1:8" ht="27.6" x14ac:dyDescent="0.25">
      <c r="A1327" s="3" t="s">
        <v>1004</v>
      </c>
      <c r="B1327" s="3" t="s">
        <v>1696</v>
      </c>
      <c r="C1327" s="4" t="str">
        <f>HYPERLINK("http://www.rncp.cncp.gouv.fr/grand-public/visualisationFiche?format=fr&amp;fiche=15006","15006")</f>
        <v>15006</v>
      </c>
      <c r="D1327" s="4" t="str">
        <f>HYPERLINK("http://www.intercariforef.org/formations/certification-74890.html","74890")</f>
        <v>74890</v>
      </c>
      <c r="E1327" s="5">
        <v>3556</v>
      </c>
      <c r="F1327" s="5" t="s">
        <v>10</v>
      </c>
      <c r="G1327" s="5" t="s">
        <v>11</v>
      </c>
      <c r="H1327" s="3" t="s">
        <v>787</v>
      </c>
    </row>
    <row r="1328" spans="1:8" ht="27.6" x14ac:dyDescent="0.25">
      <c r="A1328" s="3" t="s">
        <v>1004</v>
      </c>
      <c r="B1328" s="3" t="s">
        <v>1697</v>
      </c>
      <c r="C1328" s="4" t="str">
        <f>HYPERLINK("http://www.rncp.cncp.gouv.fr/grand-public/visualisationFiche?format=fr&amp;fiche=15140","15140")</f>
        <v>15140</v>
      </c>
      <c r="D1328" s="4" t="str">
        <f>HYPERLINK("http://www.intercariforef.org/formations/certification-77296.html","77296")</f>
        <v>77296</v>
      </c>
      <c r="E1328" s="5">
        <v>3551</v>
      </c>
      <c r="F1328" s="5" t="s">
        <v>10</v>
      </c>
      <c r="G1328" s="5" t="s">
        <v>11</v>
      </c>
      <c r="H1328" s="3" t="s">
        <v>742</v>
      </c>
    </row>
    <row r="1329" spans="1:8" ht="27.6" x14ac:dyDescent="0.25">
      <c r="A1329" s="3" t="s">
        <v>1004</v>
      </c>
      <c r="B1329" s="3" t="s">
        <v>1698</v>
      </c>
      <c r="C1329" s="4" t="str">
        <f>HYPERLINK("http://www.rncp.cncp.gouv.fr/grand-public/visualisationFiche?format=fr&amp;fiche=3317","3317")</f>
        <v>3317</v>
      </c>
      <c r="D1329" s="4" t="str">
        <f>HYPERLINK("http://www.intercariforef.org/formations/certification-53847.html","53847")</f>
        <v>53847</v>
      </c>
      <c r="E1329" s="5">
        <v>17504</v>
      </c>
      <c r="F1329" s="5" t="s">
        <v>10</v>
      </c>
      <c r="G1329" s="5" t="s">
        <v>11</v>
      </c>
      <c r="H1329" s="3" t="s">
        <v>787</v>
      </c>
    </row>
    <row r="1330" spans="1:8" ht="27.6" x14ac:dyDescent="0.25">
      <c r="A1330" s="3" t="s">
        <v>1004</v>
      </c>
      <c r="B1330" s="3" t="s">
        <v>1699</v>
      </c>
      <c r="C1330" s="4" t="str">
        <f>HYPERLINK("http://www.rncp.cncp.gouv.fr/grand-public/visualisationFiche?format=fr&amp;fiche=10930","10930")</f>
        <v>10930</v>
      </c>
      <c r="D1330" s="4" t="str">
        <f>HYPERLINK("http://www.intercariforef.org/formations/certification-60001.html","60001")</f>
        <v>60001</v>
      </c>
      <c r="E1330" s="5">
        <v>7690</v>
      </c>
      <c r="F1330" s="5" t="s">
        <v>10</v>
      </c>
      <c r="G1330" s="5" t="s">
        <v>11</v>
      </c>
      <c r="H1330" s="3" t="s">
        <v>733</v>
      </c>
    </row>
    <row r="1331" spans="1:8" ht="27.6" x14ac:dyDescent="0.25">
      <c r="A1331" s="3" t="s">
        <v>1004</v>
      </c>
      <c r="B1331" s="3" t="s">
        <v>1700</v>
      </c>
      <c r="C1331" s="4" t="str">
        <f>HYPERLINK("http://www.rncp.cncp.gouv.fr/grand-public/visualisationFiche?format=fr&amp;fiche=7565","7565")</f>
        <v>7565</v>
      </c>
      <c r="D1331" s="4" t="str">
        <f>HYPERLINK("http://www.intercariforef.org/formations/certification-63483.html","63483")</f>
        <v>63483</v>
      </c>
      <c r="E1331" s="5">
        <v>17427</v>
      </c>
      <c r="F1331" s="5" t="s">
        <v>10</v>
      </c>
      <c r="G1331" s="5" t="s">
        <v>11</v>
      </c>
      <c r="H1331" s="3" t="s">
        <v>538</v>
      </c>
    </row>
    <row r="1332" spans="1:8" ht="27.6" x14ac:dyDescent="0.25">
      <c r="A1332" s="3" t="s">
        <v>1004</v>
      </c>
      <c r="B1332" s="3" t="s">
        <v>1701</v>
      </c>
      <c r="C1332" s="5"/>
      <c r="D1332" s="4" t="str">
        <f>HYPERLINK("http://www.intercariforef.org/formations/certification-42649.html","42649")</f>
        <v>42649</v>
      </c>
      <c r="E1332" s="5">
        <v>131742</v>
      </c>
      <c r="F1332" s="5" t="s">
        <v>10</v>
      </c>
      <c r="G1332" s="5" t="s">
        <v>11</v>
      </c>
      <c r="H1332" s="3" t="s">
        <v>726</v>
      </c>
    </row>
    <row r="1333" spans="1:8" ht="27.6" x14ac:dyDescent="0.25">
      <c r="A1333" s="3" t="s">
        <v>1004</v>
      </c>
      <c r="B1333" s="3" t="s">
        <v>1702</v>
      </c>
      <c r="C1333" s="4" t="str">
        <f>HYPERLINK("http://www.rncp.cncp.gouv.fr/grand-public/visualisationFiche?format=fr&amp;fiche=11630","11630")</f>
        <v>11630</v>
      </c>
      <c r="D1333" s="4" t="str">
        <f>HYPERLINK("http://www.intercariforef.org/formations/certification-50084.html","50084")</f>
        <v>50084</v>
      </c>
      <c r="E1333" s="5">
        <v>131744</v>
      </c>
      <c r="F1333" s="5" t="s">
        <v>10</v>
      </c>
      <c r="G1333" s="5" t="s">
        <v>11</v>
      </c>
      <c r="H1333" s="3" t="s">
        <v>737</v>
      </c>
    </row>
    <row r="1334" spans="1:8" ht="27.6" x14ac:dyDescent="0.25">
      <c r="A1334" s="3" t="s">
        <v>1004</v>
      </c>
      <c r="B1334" s="3" t="s">
        <v>1703</v>
      </c>
      <c r="C1334" s="4" t="str">
        <f>HYPERLINK("http://www.rncp.cncp.gouv.fr/grand-public/visualisationFiche?format=fr&amp;fiche=17418","17418")</f>
        <v>17418</v>
      </c>
      <c r="D1334" s="4" t="str">
        <f>HYPERLINK("http://www.intercariforef.org/formations/certification-82047.html","82047")</f>
        <v>82047</v>
      </c>
      <c r="E1334" s="5">
        <v>145166</v>
      </c>
      <c r="F1334" s="5" t="s">
        <v>10</v>
      </c>
      <c r="G1334" s="5" t="s">
        <v>11</v>
      </c>
      <c r="H1334" s="3" t="s">
        <v>731</v>
      </c>
    </row>
    <row r="1335" spans="1:8" ht="27.6" x14ac:dyDescent="0.25">
      <c r="A1335" s="3" t="s">
        <v>1004</v>
      </c>
      <c r="B1335" s="3" t="s">
        <v>1704</v>
      </c>
      <c r="C1335" s="4" t="str">
        <f>HYPERLINK("http://www.rncp.cncp.gouv.fr/grand-public/visualisationFiche?format=fr&amp;fiche=10316","10316")</f>
        <v>10316</v>
      </c>
      <c r="D1335" s="4" t="str">
        <f>HYPERLINK("http://www.intercariforef.org/formations/certification-64180.html","64180")</f>
        <v>64180</v>
      </c>
      <c r="E1335" s="5">
        <v>144854</v>
      </c>
      <c r="F1335" s="5" t="s">
        <v>10</v>
      </c>
      <c r="G1335" s="5" t="s">
        <v>11</v>
      </c>
      <c r="H1335" s="3" t="s">
        <v>763</v>
      </c>
    </row>
    <row r="1336" spans="1:8" ht="13.8" x14ac:dyDescent="0.25">
      <c r="A1336" s="3" t="s">
        <v>1004</v>
      </c>
      <c r="B1336" s="3" t="s">
        <v>1705</v>
      </c>
      <c r="C1336" s="4" t="str">
        <f>HYPERLINK("http://www.rncp.cncp.gouv.fr/grand-public/visualisationFiche?format=fr&amp;fiche=17497","17497")</f>
        <v>17497</v>
      </c>
      <c r="D1336" s="4" t="str">
        <f>HYPERLINK("http://www.intercariforef.org/formations/certification-79518.html","79518")</f>
        <v>79518</v>
      </c>
      <c r="E1336" s="5">
        <v>131753</v>
      </c>
      <c r="F1336" s="5" t="s">
        <v>10</v>
      </c>
      <c r="G1336" s="5" t="s">
        <v>11</v>
      </c>
      <c r="H1336" s="3" t="s">
        <v>785</v>
      </c>
    </row>
    <row r="1337" spans="1:8" ht="13.8" x14ac:dyDescent="0.25">
      <c r="A1337" s="3" t="s">
        <v>1004</v>
      </c>
      <c r="B1337" s="3" t="s">
        <v>1706</v>
      </c>
      <c r="C1337" s="4" t="str">
        <f>HYPERLINK("http://www.rncp.cncp.gouv.fr/grand-public/visualisationFiche?format=fr&amp;fiche=12690","12690")</f>
        <v>12690</v>
      </c>
      <c r="D1337" s="4" t="str">
        <f>HYPERLINK("http://www.intercariforef.org/formations/certification-75713.html","75713")</f>
        <v>75713</v>
      </c>
      <c r="E1337" s="5">
        <v>7906</v>
      </c>
      <c r="F1337" s="5" t="s">
        <v>10</v>
      </c>
      <c r="G1337" s="5" t="s">
        <v>11</v>
      </c>
      <c r="H1337" s="3" t="s">
        <v>514</v>
      </c>
    </row>
    <row r="1338" spans="1:8" ht="27.6" x14ac:dyDescent="0.25">
      <c r="A1338" s="3" t="s">
        <v>1004</v>
      </c>
      <c r="B1338" s="3" t="s">
        <v>1707</v>
      </c>
      <c r="C1338" s="4" t="str">
        <f>HYPERLINK("http://www.rncp.cncp.gouv.fr/grand-public/visualisationFiche?format=fr&amp;fiche=3892","3892")</f>
        <v>3892</v>
      </c>
      <c r="D1338" s="4" t="str">
        <f>HYPERLINK("http://www.intercariforef.org/formations/certification-77872.html","77872")</f>
        <v>77872</v>
      </c>
      <c r="E1338" s="5">
        <v>17492</v>
      </c>
      <c r="F1338" s="5" t="s">
        <v>10</v>
      </c>
      <c r="G1338" s="5" t="s">
        <v>11</v>
      </c>
      <c r="H1338" s="3" t="s">
        <v>1300</v>
      </c>
    </row>
    <row r="1339" spans="1:8" ht="27.6" x14ac:dyDescent="0.25">
      <c r="A1339" s="3" t="s">
        <v>1004</v>
      </c>
      <c r="B1339" s="3" t="s">
        <v>1708</v>
      </c>
      <c r="C1339" s="4" t="str">
        <f>HYPERLINK("http://www.rncp.cncp.gouv.fr/grand-public/visualisationFiche?format=fr&amp;fiche=20165","20165")</f>
        <v>20165</v>
      </c>
      <c r="D1339" s="4" t="str">
        <f>HYPERLINK("http://www.intercariforef.org/formations/certification-79337.html","79337")</f>
        <v>79337</v>
      </c>
      <c r="E1339" s="5">
        <v>7897</v>
      </c>
      <c r="F1339" s="5" t="s">
        <v>10</v>
      </c>
      <c r="G1339" s="5" t="s">
        <v>11</v>
      </c>
      <c r="H1339" s="3" t="s">
        <v>810</v>
      </c>
    </row>
    <row r="1340" spans="1:8" ht="27.6" x14ac:dyDescent="0.25">
      <c r="A1340" s="3" t="s">
        <v>1004</v>
      </c>
      <c r="B1340" s="3" t="s">
        <v>1709</v>
      </c>
      <c r="C1340" s="4" t="str">
        <f>HYPERLINK("http://www.rncp.cncp.gouv.fr/grand-public/visualisationFiche?format=fr&amp;fiche=3273","3273")</f>
        <v>3273</v>
      </c>
      <c r="D1340" s="4" t="str">
        <f>HYPERLINK("http://www.intercariforef.org/formations/certification-17962.html","17962")</f>
        <v>17962</v>
      </c>
      <c r="E1340" s="5">
        <v>7902</v>
      </c>
      <c r="F1340" s="5" t="s">
        <v>10</v>
      </c>
      <c r="G1340" s="5" t="s">
        <v>11</v>
      </c>
      <c r="H1340" s="3" t="s">
        <v>810</v>
      </c>
    </row>
    <row r="1341" spans="1:8" ht="27.6" x14ac:dyDescent="0.25">
      <c r="A1341" s="3" t="s">
        <v>1004</v>
      </c>
      <c r="B1341" s="3" t="s">
        <v>1710</v>
      </c>
      <c r="C1341" s="4" t="str">
        <f>HYPERLINK("http://www.rncp.cncp.gouv.fr/grand-public/visualisationFiche?format=fr&amp;fiche=17134","17134")</f>
        <v>17134</v>
      </c>
      <c r="D1341" s="4" t="str">
        <f>HYPERLINK("http://www.intercariforef.org/formations/certification-17965.html","17965")</f>
        <v>17965</v>
      </c>
      <c r="E1341" s="5">
        <v>7905</v>
      </c>
      <c r="F1341" s="5" t="s">
        <v>10</v>
      </c>
      <c r="G1341" s="5" t="s">
        <v>11</v>
      </c>
      <c r="H1341" s="3" t="s">
        <v>785</v>
      </c>
    </row>
    <row r="1342" spans="1:8" ht="27.6" x14ac:dyDescent="0.25">
      <c r="A1342" s="3" t="s">
        <v>1004</v>
      </c>
      <c r="B1342" s="3" t="s">
        <v>1711</v>
      </c>
      <c r="C1342" s="4" t="str">
        <f>HYPERLINK("http://www.rncp.cncp.gouv.fr/grand-public/visualisationFiche?format=fr&amp;fiche=5660","5660")</f>
        <v>5660</v>
      </c>
      <c r="D1342" s="4" t="str">
        <f>HYPERLINK("http://www.intercariforef.org/formations/certification-54462.html","54462")</f>
        <v>54462</v>
      </c>
      <c r="E1342" s="5">
        <v>17509</v>
      </c>
      <c r="F1342" s="5" t="s">
        <v>10</v>
      </c>
      <c r="G1342" s="5" t="s">
        <v>11</v>
      </c>
      <c r="H1342" s="3" t="s">
        <v>963</v>
      </c>
    </row>
    <row r="1343" spans="1:8" ht="13.8" x14ac:dyDescent="0.25">
      <c r="A1343" s="3" t="s">
        <v>1004</v>
      </c>
      <c r="B1343" s="3" t="s">
        <v>1712</v>
      </c>
      <c r="C1343" s="4" t="str">
        <f>HYPERLINK("http://www.rncp.cncp.gouv.fr/grand-public/visualisationFiche?format=fr&amp;fiche=10317","10317")</f>
        <v>10317</v>
      </c>
      <c r="D1343" s="4" t="str">
        <f>HYPERLINK("http://www.intercariforef.org/formations/certification-50077.html","50077")</f>
        <v>50077</v>
      </c>
      <c r="E1343" s="5">
        <v>7962</v>
      </c>
      <c r="F1343" s="5" t="s">
        <v>10</v>
      </c>
      <c r="G1343" s="5" t="s">
        <v>11</v>
      </c>
      <c r="H1343" s="3" t="s">
        <v>763</v>
      </c>
    </row>
    <row r="1344" spans="1:8" ht="13.8" x14ac:dyDescent="0.25">
      <c r="A1344" s="3" t="s">
        <v>1004</v>
      </c>
      <c r="B1344" s="3" t="s">
        <v>1713</v>
      </c>
      <c r="C1344" s="4" t="str">
        <f>HYPERLINK("http://www.rncp.cncp.gouv.fr/grand-public/visualisationFiche?format=fr&amp;fiche=5206","5206")</f>
        <v>5206</v>
      </c>
      <c r="D1344" s="4" t="str">
        <f>HYPERLINK("http://www.intercariforef.org/formations/certification-42929.html","42929")</f>
        <v>42929</v>
      </c>
      <c r="E1344" s="5">
        <v>7917</v>
      </c>
      <c r="F1344" s="5" t="s">
        <v>10</v>
      </c>
      <c r="G1344" s="5" t="s">
        <v>11</v>
      </c>
      <c r="H1344" s="3" t="s">
        <v>771</v>
      </c>
    </row>
    <row r="1345" spans="1:8" ht="13.8" x14ac:dyDescent="0.25">
      <c r="A1345" s="3" t="s">
        <v>1004</v>
      </c>
      <c r="B1345" s="3" t="s">
        <v>1714</v>
      </c>
      <c r="C1345" s="4" t="str">
        <f>HYPERLINK("http://www.rncp.cncp.gouv.fr/grand-public/visualisationFiche?format=fr&amp;fiche=17405","17405")</f>
        <v>17405</v>
      </c>
      <c r="D1345" s="4" t="str">
        <f>HYPERLINK("http://www.intercariforef.org/formations/certification-17968.html","17968")</f>
        <v>17968</v>
      </c>
      <c r="E1345" s="5">
        <v>7919</v>
      </c>
      <c r="F1345" s="5" t="s">
        <v>10</v>
      </c>
      <c r="G1345" s="5" t="s">
        <v>11</v>
      </c>
      <c r="H1345" s="3" t="s">
        <v>731</v>
      </c>
    </row>
    <row r="1346" spans="1:8" ht="27.6" x14ac:dyDescent="0.25">
      <c r="A1346" s="3" t="s">
        <v>1004</v>
      </c>
      <c r="B1346" s="3" t="s">
        <v>1715</v>
      </c>
      <c r="C1346" s="4" t="str">
        <f>HYPERLINK("http://www.rncp.cncp.gouv.fr/grand-public/visualisationFiche?format=fr&amp;fiche=3392","3392")</f>
        <v>3392</v>
      </c>
      <c r="D1346" s="4" t="str">
        <f>HYPERLINK("http://www.intercariforef.org/formations/certification-17967.html","17967")</f>
        <v>17967</v>
      </c>
      <c r="E1346" s="5">
        <v>7925</v>
      </c>
      <c r="F1346" s="5" t="s">
        <v>10</v>
      </c>
      <c r="G1346" s="5" t="s">
        <v>11</v>
      </c>
      <c r="H1346" s="3" t="s">
        <v>809</v>
      </c>
    </row>
    <row r="1347" spans="1:8" ht="27.6" x14ac:dyDescent="0.25">
      <c r="A1347" s="3" t="s">
        <v>1004</v>
      </c>
      <c r="B1347" s="3" t="s">
        <v>1716</v>
      </c>
      <c r="C1347" s="5"/>
      <c r="D1347" s="4" t="str">
        <f>HYPERLINK("http://www.intercariforef.org/formations/certification-70482.html","70482")</f>
        <v>70482</v>
      </c>
      <c r="E1347" s="5">
        <v>162465</v>
      </c>
      <c r="F1347" s="5" t="s">
        <v>10</v>
      </c>
      <c r="G1347" s="5" t="s">
        <v>11</v>
      </c>
      <c r="H1347" s="3" t="s">
        <v>1420</v>
      </c>
    </row>
    <row r="1348" spans="1:8" ht="27.6" x14ac:dyDescent="0.25">
      <c r="A1348" s="3" t="s">
        <v>1004</v>
      </c>
      <c r="B1348" s="3" t="s">
        <v>1717</v>
      </c>
      <c r="C1348" s="4" t="str">
        <f>HYPERLINK("http://www.rncp.cncp.gouv.fr/grand-public/visualisationFiche?format=fr&amp;fiche=3971","3971")</f>
        <v>3971</v>
      </c>
      <c r="D1348" s="4" t="str">
        <f>HYPERLINK("http://www.intercariforef.org/formations/certification-70499.html","70499")</f>
        <v>70499</v>
      </c>
      <c r="E1348" s="5">
        <v>162472</v>
      </c>
      <c r="F1348" s="5" t="s">
        <v>10</v>
      </c>
      <c r="G1348" s="5" t="s">
        <v>11</v>
      </c>
      <c r="H1348" s="3" t="s">
        <v>1420</v>
      </c>
    </row>
    <row r="1349" spans="1:8" ht="27.6" x14ac:dyDescent="0.25">
      <c r="A1349" s="3" t="s">
        <v>1004</v>
      </c>
      <c r="B1349" s="3" t="s">
        <v>1717</v>
      </c>
      <c r="C1349" s="4" t="str">
        <f>HYPERLINK("http://www.rncp.cncp.gouv.fr/grand-public/visualisationFiche?format=fr&amp;fiche=3971","3971")</f>
        <v>3971</v>
      </c>
      <c r="D1349" s="4" t="str">
        <f>HYPERLINK("http://www.intercariforef.org/formations/certification-70510.html","70510")</f>
        <v>70510</v>
      </c>
      <c r="E1349" s="5">
        <v>162478</v>
      </c>
      <c r="F1349" s="5" t="s">
        <v>10</v>
      </c>
      <c r="G1349" s="5" t="s">
        <v>11</v>
      </c>
      <c r="H1349" s="3" t="s">
        <v>742</v>
      </c>
    </row>
    <row r="1350" spans="1:8" ht="41.4" x14ac:dyDescent="0.25">
      <c r="A1350" s="3" t="s">
        <v>1004</v>
      </c>
      <c r="B1350" s="3" t="s">
        <v>1718</v>
      </c>
      <c r="C1350" s="4" t="str">
        <f>HYPERLINK("http://www.rncp.cncp.gouv.fr/grand-public/visualisationFiche?format=fr&amp;fiche=4425","4425")</f>
        <v>4425</v>
      </c>
      <c r="D1350" s="4" t="str">
        <f>HYPERLINK("http://www.intercariforef.org/formations/certification-70491.html","70491")</f>
        <v>70491</v>
      </c>
      <c r="E1350" s="5">
        <v>162462</v>
      </c>
      <c r="F1350" s="5" t="s">
        <v>10</v>
      </c>
      <c r="G1350" s="5" t="s">
        <v>11</v>
      </c>
      <c r="H1350" s="3" t="s">
        <v>739</v>
      </c>
    </row>
    <row r="1351" spans="1:8" ht="41.4" x14ac:dyDescent="0.25">
      <c r="A1351" s="3" t="s">
        <v>1004</v>
      </c>
      <c r="B1351" s="3" t="s">
        <v>1718</v>
      </c>
      <c r="C1351" s="5"/>
      <c r="D1351" s="4" t="str">
        <f>HYPERLINK("http://www.intercariforef.org/formations/certification-83104.html","83104")</f>
        <v>83104</v>
      </c>
      <c r="E1351" s="5">
        <v>162470</v>
      </c>
      <c r="F1351" s="5" t="s">
        <v>10</v>
      </c>
      <c r="G1351" s="5" t="s">
        <v>11</v>
      </c>
      <c r="H1351" s="3" t="s">
        <v>954</v>
      </c>
    </row>
    <row r="1352" spans="1:8" ht="41.4" x14ac:dyDescent="0.25">
      <c r="A1352" s="3" t="s">
        <v>1004</v>
      </c>
      <c r="B1352" s="3" t="s">
        <v>1718</v>
      </c>
      <c r="C1352" s="4" t="str">
        <f>HYPERLINK("http://www.rncp.cncp.gouv.fr/grand-public/visualisationFiche?format=fr&amp;fiche=13555","13555")</f>
        <v>13555</v>
      </c>
      <c r="D1352" s="4" t="str">
        <f>HYPERLINK("http://www.intercariforef.org/formations/certification-70659.html","70659")</f>
        <v>70659</v>
      </c>
      <c r="E1352" s="5">
        <v>162468</v>
      </c>
      <c r="F1352" s="5" t="s">
        <v>10</v>
      </c>
      <c r="G1352" s="5" t="s">
        <v>11</v>
      </c>
      <c r="H1352" s="3" t="s">
        <v>788</v>
      </c>
    </row>
    <row r="1353" spans="1:8" ht="41.4" x14ac:dyDescent="0.25">
      <c r="A1353" s="3" t="s">
        <v>1004</v>
      </c>
      <c r="B1353" s="3" t="s">
        <v>1718</v>
      </c>
      <c r="C1353" s="5"/>
      <c r="D1353" s="4" t="str">
        <f>HYPERLINK("http://www.intercariforef.org/formations/certification-70559.html","70559")</f>
        <v>70559</v>
      </c>
      <c r="E1353" s="5">
        <v>162467</v>
      </c>
      <c r="F1353" s="5" t="s">
        <v>10</v>
      </c>
      <c r="G1353" s="5" t="s">
        <v>11</v>
      </c>
      <c r="H1353" s="3" t="s">
        <v>813</v>
      </c>
    </row>
    <row r="1354" spans="1:8" ht="41.4" x14ac:dyDescent="0.25">
      <c r="A1354" s="3" t="s">
        <v>1004</v>
      </c>
      <c r="B1354" s="3" t="s">
        <v>1718</v>
      </c>
      <c r="C1354" s="5"/>
      <c r="D1354" s="4" t="str">
        <f>HYPERLINK("http://www.intercariforef.org/formations/certification-70496.html","70496")</f>
        <v>70496</v>
      </c>
      <c r="E1354" s="5">
        <v>162464</v>
      </c>
      <c r="F1354" s="5" t="s">
        <v>10</v>
      </c>
      <c r="G1354" s="5" t="s">
        <v>11</v>
      </c>
      <c r="H1354" s="3" t="s">
        <v>713</v>
      </c>
    </row>
    <row r="1355" spans="1:8" ht="41.4" x14ac:dyDescent="0.25">
      <c r="A1355" s="3" t="s">
        <v>1004</v>
      </c>
      <c r="B1355" s="3" t="s">
        <v>1718</v>
      </c>
      <c r="C1355" s="5"/>
      <c r="D1355" s="4" t="str">
        <f>HYPERLINK("http://www.intercariforef.org/formations/certification-77999.html","77999")</f>
        <v>77999</v>
      </c>
      <c r="E1355" s="5">
        <v>162469</v>
      </c>
      <c r="F1355" s="5" t="s">
        <v>10</v>
      </c>
      <c r="G1355" s="5" t="s">
        <v>11</v>
      </c>
      <c r="H1355" s="3" t="s">
        <v>774</v>
      </c>
    </row>
    <row r="1356" spans="1:8" ht="41.4" x14ac:dyDescent="0.25">
      <c r="A1356" s="3" t="s">
        <v>1004</v>
      </c>
      <c r="B1356" s="3" t="s">
        <v>1718</v>
      </c>
      <c r="C1356" s="5"/>
      <c r="D1356" s="4" t="str">
        <f>HYPERLINK("http://www.intercariforef.org/formations/certification-76266.html","76266")</f>
        <v>76266</v>
      </c>
      <c r="E1356" s="5">
        <v>162460</v>
      </c>
      <c r="F1356" s="5" t="s">
        <v>10</v>
      </c>
      <c r="G1356" s="5" t="s">
        <v>11</v>
      </c>
      <c r="H1356" s="3" t="s">
        <v>954</v>
      </c>
    </row>
    <row r="1357" spans="1:8" ht="41.4" x14ac:dyDescent="0.25">
      <c r="A1357" s="3" t="s">
        <v>1004</v>
      </c>
      <c r="B1357" s="3" t="s">
        <v>1718</v>
      </c>
      <c r="C1357" s="5"/>
      <c r="D1357" s="4" t="str">
        <f>HYPERLINK("http://www.intercariforef.org/formations/certification-63351.html","63351")</f>
        <v>63351</v>
      </c>
      <c r="E1357" s="5">
        <v>162459</v>
      </c>
      <c r="F1357" s="5" t="s">
        <v>10</v>
      </c>
      <c r="G1357" s="5" t="s">
        <v>11</v>
      </c>
      <c r="H1357" s="3" t="s">
        <v>737</v>
      </c>
    </row>
    <row r="1358" spans="1:8" ht="41.4" x14ac:dyDescent="0.25">
      <c r="A1358" s="3" t="s">
        <v>1004</v>
      </c>
      <c r="B1358" s="3" t="s">
        <v>1718</v>
      </c>
      <c r="C1358" s="5"/>
      <c r="D1358" s="4" t="str">
        <f>HYPERLINK("http://www.intercariforef.org/formations/certification-70495.html","70495")</f>
        <v>70495</v>
      </c>
      <c r="E1358" s="5">
        <v>162463</v>
      </c>
      <c r="F1358" s="5" t="s">
        <v>10</v>
      </c>
      <c r="G1358" s="5" t="s">
        <v>11</v>
      </c>
      <c r="H1358" s="3" t="s">
        <v>733</v>
      </c>
    </row>
    <row r="1359" spans="1:8" ht="41.4" x14ac:dyDescent="0.25">
      <c r="A1359" s="3" t="s">
        <v>1004</v>
      </c>
      <c r="B1359" s="3" t="s">
        <v>1719</v>
      </c>
      <c r="C1359" s="5"/>
      <c r="D1359" s="4" t="str">
        <f>HYPERLINK("http://www.intercariforef.org/formations/certification-70485.html","70485")</f>
        <v>70485</v>
      </c>
      <c r="E1359" s="5">
        <v>162466</v>
      </c>
      <c r="F1359" s="5" t="s">
        <v>10</v>
      </c>
      <c r="G1359" s="5" t="s">
        <v>11</v>
      </c>
      <c r="H1359" s="3" t="s">
        <v>785</v>
      </c>
    </row>
    <row r="1360" spans="1:8" ht="41.4" x14ac:dyDescent="0.25">
      <c r="A1360" s="3" t="s">
        <v>1004</v>
      </c>
      <c r="B1360" s="3" t="s">
        <v>1719</v>
      </c>
      <c r="C1360" s="4" t="str">
        <f>HYPERLINK("http://www.rncp.cncp.gouv.fr/grand-public/visualisationFiche?format=fr&amp;fiche=4425","4425")</f>
        <v>4425</v>
      </c>
      <c r="D1360" s="4" t="str">
        <f>HYPERLINK("http://www.intercariforef.org/formations/certification-70487.html","70487")</f>
        <v>70487</v>
      </c>
      <c r="E1360" s="5">
        <v>162461</v>
      </c>
      <c r="F1360" s="5" t="s">
        <v>10</v>
      </c>
      <c r="G1360" s="5" t="s">
        <v>11</v>
      </c>
      <c r="H1360" s="3" t="s">
        <v>905</v>
      </c>
    </row>
    <row r="1361" spans="1:8" ht="27.6" x14ac:dyDescent="0.25">
      <c r="A1361" s="3" t="s">
        <v>1004</v>
      </c>
      <c r="B1361" s="3" t="s">
        <v>1720</v>
      </c>
      <c r="C1361" s="4" t="str">
        <f>HYPERLINK("http://www.rncp.cncp.gouv.fr/grand-public/visualisationFiche?format=fr&amp;fiche=3971","3971")</f>
        <v>3971</v>
      </c>
      <c r="D1361" s="4" t="str">
        <f>HYPERLINK("http://www.intercariforef.org/formations/certification-70504.html","70504")</f>
        <v>70504</v>
      </c>
      <c r="E1361" s="5">
        <v>162474</v>
      </c>
      <c r="F1361" s="5" t="s">
        <v>10</v>
      </c>
      <c r="G1361" s="5" t="s">
        <v>11</v>
      </c>
      <c r="H1361" s="3" t="s">
        <v>905</v>
      </c>
    </row>
    <row r="1362" spans="1:8" ht="27.6" x14ac:dyDescent="0.25">
      <c r="A1362" s="3" t="s">
        <v>1004</v>
      </c>
      <c r="B1362" s="3" t="s">
        <v>1720</v>
      </c>
      <c r="C1362" s="4" t="str">
        <f>HYPERLINK("http://www.rncp.cncp.gouv.fr/grand-public/visualisationFiche?format=fr&amp;fiche=3971","3971")</f>
        <v>3971</v>
      </c>
      <c r="D1362" s="4" t="str">
        <f>HYPERLINK("http://www.intercariforef.org/formations/certification-83071.html","83071")</f>
        <v>83071</v>
      </c>
      <c r="E1362" s="5">
        <v>162485</v>
      </c>
      <c r="F1362" s="5" t="s">
        <v>10</v>
      </c>
      <c r="G1362" s="5" t="s">
        <v>11</v>
      </c>
      <c r="H1362" s="3" t="s">
        <v>514</v>
      </c>
    </row>
    <row r="1363" spans="1:8" ht="27.6" x14ac:dyDescent="0.25">
      <c r="A1363" s="3" t="s">
        <v>1004</v>
      </c>
      <c r="B1363" s="3" t="s">
        <v>1720</v>
      </c>
      <c r="C1363" s="5"/>
      <c r="D1363" s="4" t="str">
        <f>HYPERLINK("http://www.intercariforef.org/formations/certification-78003.html","78003")</f>
        <v>78003</v>
      </c>
      <c r="E1363" s="5">
        <v>162484</v>
      </c>
      <c r="F1363" s="5" t="s">
        <v>10</v>
      </c>
      <c r="G1363" s="5" t="s">
        <v>11</v>
      </c>
      <c r="H1363" s="3" t="s">
        <v>774</v>
      </c>
    </row>
    <row r="1364" spans="1:8" ht="27.6" x14ac:dyDescent="0.25">
      <c r="A1364" s="3" t="s">
        <v>1004</v>
      </c>
      <c r="B1364" s="3" t="s">
        <v>1720</v>
      </c>
      <c r="C1364" s="4" t="str">
        <f t="shared" ref="C1364:C1373" si="0">HYPERLINK("http://www.rncp.cncp.gouv.fr/grand-public/visualisationFiche?format=fr&amp;fiche=3971","3971")</f>
        <v>3971</v>
      </c>
      <c r="D1364" s="4" t="str">
        <f>HYPERLINK("http://www.intercariforef.org/formations/certification-76263.html","76263")</f>
        <v>76263</v>
      </c>
      <c r="E1364" s="5">
        <v>162483</v>
      </c>
      <c r="F1364" s="5" t="s">
        <v>10</v>
      </c>
      <c r="G1364" s="5" t="s">
        <v>11</v>
      </c>
      <c r="H1364" s="3" t="s">
        <v>954</v>
      </c>
    </row>
    <row r="1365" spans="1:8" ht="27.6" x14ac:dyDescent="0.25">
      <c r="A1365" s="3" t="s">
        <v>1004</v>
      </c>
      <c r="B1365" s="3" t="s">
        <v>1720</v>
      </c>
      <c r="C1365" s="4" t="str">
        <f t="shared" si="0"/>
        <v>3971</v>
      </c>
      <c r="D1365" s="4" t="str">
        <f>HYPERLINK("http://www.intercariforef.org/formations/certification-70666.html","70666")</f>
        <v>70666</v>
      </c>
      <c r="E1365" s="5">
        <v>162482</v>
      </c>
      <c r="F1365" s="5" t="s">
        <v>10</v>
      </c>
      <c r="G1365" s="5" t="s">
        <v>11</v>
      </c>
      <c r="H1365" s="3" t="s">
        <v>788</v>
      </c>
    </row>
    <row r="1366" spans="1:8" ht="27.6" x14ac:dyDescent="0.25">
      <c r="A1366" s="3" t="s">
        <v>1004</v>
      </c>
      <c r="B1366" s="3" t="s">
        <v>1720</v>
      </c>
      <c r="C1366" s="4" t="str">
        <f t="shared" si="0"/>
        <v>3971</v>
      </c>
      <c r="D1366" s="4" t="str">
        <f>HYPERLINK("http://www.intercariforef.org/formations/certification-70560.html","70560")</f>
        <v>70560</v>
      </c>
      <c r="E1366" s="5">
        <v>162481</v>
      </c>
      <c r="F1366" s="5" t="s">
        <v>10</v>
      </c>
      <c r="G1366" s="5" t="s">
        <v>11</v>
      </c>
      <c r="H1366" s="3" t="s">
        <v>813</v>
      </c>
    </row>
    <row r="1367" spans="1:8" ht="27.6" x14ac:dyDescent="0.25">
      <c r="A1367" s="3" t="s">
        <v>1004</v>
      </c>
      <c r="B1367" s="3" t="s">
        <v>1720</v>
      </c>
      <c r="C1367" s="4" t="str">
        <f t="shared" si="0"/>
        <v>3971</v>
      </c>
      <c r="D1367" s="4" t="str">
        <f>HYPERLINK("http://www.intercariforef.org/formations/certification-70512.html","70512")</f>
        <v>70512</v>
      </c>
      <c r="E1367" s="5">
        <v>162480</v>
      </c>
      <c r="F1367" s="5" t="s">
        <v>10</v>
      </c>
      <c r="G1367" s="5" t="s">
        <v>11</v>
      </c>
      <c r="H1367" s="3" t="s">
        <v>713</v>
      </c>
    </row>
    <row r="1368" spans="1:8" ht="27.6" x14ac:dyDescent="0.25">
      <c r="A1368" s="3" t="s">
        <v>1004</v>
      </c>
      <c r="B1368" s="3" t="s">
        <v>1720</v>
      </c>
      <c r="C1368" s="4" t="str">
        <f t="shared" si="0"/>
        <v>3971</v>
      </c>
      <c r="D1368" s="4" t="str">
        <f>HYPERLINK("http://www.intercariforef.org/formations/certification-70511.html","70511")</f>
        <v>70511</v>
      </c>
      <c r="E1368" s="5">
        <v>162479</v>
      </c>
      <c r="F1368" s="5" t="s">
        <v>10</v>
      </c>
      <c r="G1368" s="5" t="s">
        <v>11</v>
      </c>
      <c r="H1368" s="3" t="s">
        <v>733</v>
      </c>
    </row>
    <row r="1369" spans="1:8" ht="27.6" x14ac:dyDescent="0.25">
      <c r="A1369" s="3" t="s">
        <v>1004</v>
      </c>
      <c r="B1369" s="3" t="s">
        <v>1720</v>
      </c>
      <c r="C1369" s="4" t="str">
        <f t="shared" si="0"/>
        <v>3971</v>
      </c>
      <c r="D1369" s="4" t="str">
        <f>HYPERLINK("http://www.intercariforef.org/formations/certification-70528.html","70528")</f>
        <v>70528</v>
      </c>
      <c r="E1369" s="5">
        <v>162477</v>
      </c>
      <c r="F1369" s="5" t="s">
        <v>10</v>
      </c>
      <c r="G1369" s="5" t="s">
        <v>11</v>
      </c>
      <c r="H1369" s="3" t="s">
        <v>737</v>
      </c>
    </row>
    <row r="1370" spans="1:8" ht="27.6" x14ac:dyDescent="0.25">
      <c r="A1370" s="3" t="s">
        <v>1004</v>
      </c>
      <c r="B1370" s="3" t="s">
        <v>1720</v>
      </c>
      <c r="C1370" s="4" t="str">
        <f t="shared" si="0"/>
        <v>3971</v>
      </c>
      <c r="D1370" s="4" t="str">
        <f>HYPERLINK("http://www.intercariforef.org/formations/certification-70508.html","70508")</f>
        <v>70508</v>
      </c>
      <c r="E1370" s="5">
        <v>162475</v>
      </c>
      <c r="F1370" s="5" t="s">
        <v>10</v>
      </c>
      <c r="G1370" s="5" t="s">
        <v>11</v>
      </c>
      <c r="H1370" s="3" t="s">
        <v>739</v>
      </c>
    </row>
    <row r="1371" spans="1:8" ht="27.6" x14ac:dyDescent="0.25">
      <c r="A1371" s="3" t="s">
        <v>1004</v>
      </c>
      <c r="B1371" s="3" t="s">
        <v>1720</v>
      </c>
      <c r="C1371" s="4" t="str">
        <f t="shared" si="0"/>
        <v>3971</v>
      </c>
      <c r="D1371" s="4" t="str">
        <f>HYPERLINK("http://www.intercariforef.org/formations/certification-83107.html","83107")</f>
        <v>83107</v>
      </c>
      <c r="E1371" s="5">
        <v>162471</v>
      </c>
      <c r="F1371" s="5" t="s">
        <v>10</v>
      </c>
      <c r="G1371" s="5" t="s">
        <v>11</v>
      </c>
      <c r="H1371" s="3" t="s">
        <v>954</v>
      </c>
    </row>
    <row r="1372" spans="1:8" ht="27.6" x14ac:dyDescent="0.25">
      <c r="A1372" s="3" t="s">
        <v>1004</v>
      </c>
      <c r="B1372" s="3" t="s">
        <v>1720</v>
      </c>
      <c r="C1372" s="4" t="str">
        <f t="shared" si="0"/>
        <v>3971</v>
      </c>
      <c r="D1372" s="4" t="str">
        <f>HYPERLINK("http://www.intercariforef.org/formations/certification-70503.html","70503")</f>
        <v>70503</v>
      </c>
      <c r="E1372" s="5">
        <v>162473</v>
      </c>
      <c r="F1372" s="5" t="s">
        <v>10</v>
      </c>
      <c r="G1372" s="5" t="s">
        <v>11</v>
      </c>
      <c r="H1372" s="3" t="s">
        <v>785</v>
      </c>
    </row>
    <row r="1373" spans="1:8" ht="27.6" x14ac:dyDescent="0.25">
      <c r="A1373" s="3" t="s">
        <v>1004</v>
      </c>
      <c r="B1373" s="3" t="s">
        <v>1720</v>
      </c>
      <c r="C1373" s="4" t="str">
        <f t="shared" si="0"/>
        <v>3971</v>
      </c>
      <c r="D1373" s="4" t="str">
        <f>HYPERLINK("http://www.intercariforef.org/formations/certification-70527.html","70527")</f>
        <v>70527</v>
      </c>
      <c r="E1373" s="5">
        <v>162476</v>
      </c>
      <c r="F1373" s="5" t="s">
        <v>10</v>
      </c>
      <c r="G1373" s="5" t="s">
        <v>11</v>
      </c>
      <c r="H1373" s="3" t="s">
        <v>789</v>
      </c>
    </row>
    <row r="1374" spans="1:8" ht="13.8" x14ac:dyDescent="0.25">
      <c r="A1374" s="3" t="s">
        <v>1004</v>
      </c>
      <c r="B1374" s="3" t="s">
        <v>1721</v>
      </c>
      <c r="C1374" s="4" t="str">
        <f>HYPERLINK("http://www.rncp.cncp.gouv.fr/grand-public/visualisationFiche?format=fr&amp;fiche=11963","11963")</f>
        <v>11963</v>
      </c>
      <c r="D1374" s="4" t="str">
        <f>HYPERLINK("http://www.intercariforef.org/formations/certification-70729.html","70729")</f>
        <v>70729</v>
      </c>
      <c r="E1374" s="5">
        <v>7991</v>
      </c>
      <c r="F1374" s="5" t="s">
        <v>10</v>
      </c>
      <c r="G1374" s="5" t="s">
        <v>11</v>
      </c>
      <c r="H1374" s="3" t="s">
        <v>758</v>
      </c>
    </row>
    <row r="1375" spans="1:8" ht="13.8" x14ac:dyDescent="0.25">
      <c r="A1375" s="3" t="s">
        <v>1004</v>
      </c>
      <c r="B1375" s="3" t="s">
        <v>1721</v>
      </c>
      <c r="C1375" s="4" t="str">
        <f>HYPERLINK("http://www.rncp.cncp.gouv.fr/grand-public/visualisationFiche?format=fr&amp;fiche=10450","10450")</f>
        <v>10450</v>
      </c>
      <c r="D1375" s="4" t="str">
        <f>HYPERLINK("http://www.intercariforef.org/formations/certification-70719.html","70719")</f>
        <v>70719</v>
      </c>
      <c r="E1375" s="5">
        <v>2973</v>
      </c>
      <c r="F1375" s="5" t="s">
        <v>10</v>
      </c>
      <c r="G1375" s="5" t="s">
        <v>11</v>
      </c>
      <c r="H1375" s="3" t="s">
        <v>763</v>
      </c>
    </row>
    <row r="1376" spans="1:8" ht="13.8" x14ac:dyDescent="0.25">
      <c r="A1376" s="3" t="s">
        <v>1004</v>
      </c>
      <c r="B1376" s="3" t="s">
        <v>1721</v>
      </c>
      <c r="C1376" s="4" t="str">
        <f>HYPERLINK("http://www.rncp.cncp.gouv.fr/grand-public/visualisationFiche?format=fr&amp;fiche=7054","7054")</f>
        <v>7054</v>
      </c>
      <c r="D1376" s="4" t="str">
        <f>HYPERLINK("http://www.intercariforef.org/formations/certification-70721.html","70721")</f>
        <v>70721</v>
      </c>
      <c r="E1376" s="5">
        <v>2974</v>
      </c>
      <c r="F1376" s="5" t="s">
        <v>10</v>
      </c>
      <c r="G1376" s="5" t="s">
        <v>11</v>
      </c>
      <c r="H1376" s="3" t="s">
        <v>739</v>
      </c>
    </row>
    <row r="1377" spans="1:8" ht="13.8" x14ac:dyDescent="0.25">
      <c r="A1377" s="3" t="s">
        <v>1004</v>
      </c>
      <c r="B1377" s="3" t="s">
        <v>1721</v>
      </c>
      <c r="C1377" s="4" t="str">
        <f>HYPERLINK("http://www.rncp.cncp.gouv.fr/grand-public/visualisationFiche?format=fr&amp;fiche=11626","11626")</f>
        <v>11626</v>
      </c>
      <c r="D1377" s="4" t="str">
        <f>HYPERLINK("http://www.intercariforef.org/formations/certification-70732.html","70732")</f>
        <v>70732</v>
      </c>
      <c r="E1377" s="5">
        <v>2975</v>
      </c>
      <c r="F1377" s="5" t="s">
        <v>10</v>
      </c>
      <c r="G1377" s="5" t="s">
        <v>11</v>
      </c>
      <c r="H1377" s="3" t="s">
        <v>737</v>
      </c>
    </row>
    <row r="1378" spans="1:8" ht="13.8" x14ac:dyDescent="0.25">
      <c r="A1378" s="3" t="s">
        <v>1004</v>
      </c>
      <c r="B1378" s="3" t="s">
        <v>1721</v>
      </c>
      <c r="C1378" s="4" t="str">
        <f>HYPERLINK("http://www.rncp.cncp.gouv.fr/grand-public/visualisationFiche?format=fr&amp;fiche=9977","9977")</f>
        <v>9977</v>
      </c>
      <c r="D1378" s="4" t="str">
        <f>HYPERLINK("http://www.intercariforef.org/formations/certification-70726.html","70726")</f>
        <v>70726</v>
      </c>
      <c r="E1378" s="5">
        <v>7989</v>
      </c>
      <c r="F1378" s="5" t="s">
        <v>10</v>
      </c>
      <c r="G1378" s="5" t="s">
        <v>11</v>
      </c>
      <c r="H1378" s="3" t="s">
        <v>538</v>
      </c>
    </row>
    <row r="1379" spans="1:8" ht="13.8" x14ac:dyDescent="0.25">
      <c r="A1379" s="3" t="s">
        <v>1004</v>
      </c>
      <c r="B1379" s="3" t="s">
        <v>1721</v>
      </c>
      <c r="C1379" s="4" t="str">
        <f>HYPERLINK("http://www.rncp.cncp.gouv.fr/grand-public/visualisationFiche?format=fr&amp;fiche=12694","12694")</f>
        <v>12694</v>
      </c>
      <c r="D1379" s="4" t="str">
        <f>HYPERLINK("http://www.intercariforef.org/formations/certification-70727.html","70727")</f>
        <v>70727</v>
      </c>
      <c r="E1379" s="5">
        <v>7990</v>
      </c>
      <c r="F1379" s="5" t="s">
        <v>10</v>
      </c>
      <c r="G1379" s="5" t="s">
        <v>11</v>
      </c>
      <c r="H1379" s="3" t="s">
        <v>514</v>
      </c>
    </row>
    <row r="1380" spans="1:8" ht="27.6" x14ac:dyDescent="0.25">
      <c r="A1380" s="3" t="s">
        <v>1004</v>
      </c>
      <c r="B1380" s="3" t="s">
        <v>1722</v>
      </c>
      <c r="C1380" s="5"/>
      <c r="D1380" s="4" t="str">
        <f>HYPERLINK("http://www.intercariforef.org/formations/certification-81989.html","81989")</f>
        <v>81989</v>
      </c>
      <c r="E1380" s="5">
        <v>144409</v>
      </c>
      <c r="F1380" s="5" t="s">
        <v>10</v>
      </c>
      <c r="G1380" s="5" t="s">
        <v>11</v>
      </c>
      <c r="H1380" s="3" t="s">
        <v>731</v>
      </c>
    </row>
    <row r="1381" spans="1:8" ht="27.6" x14ac:dyDescent="0.25">
      <c r="A1381" s="3" t="s">
        <v>1004</v>
      </c>
      <c r="B1381" s="3" t="s">
        <v>1723</v>
      </c>
      <c r="C1381" s="5"/>
      <c r="D1381" s="4" t="str">
        <f>HYPERLINK("http://www.intercariforef.org/formations/certification-81995.html","81995")</f>
        <v>81995</v>
      </c>
      <c r="E1381" s="5">
        <v>144410</v>
      </c>
      <c r="F1381" s="5" t="s">
        <v>10</v>
      </c>
      <c r="G1381" s="5" t="s">
        <v>11</v>
      </c>
      <c r="H1381" s="3" t="s">
        <v>731</v>
      </c>
    </row>
    <row r="1382" spans="1:8" ht="13.8" x14ac:dyDescent="0.25">
      <c r="A1382" s="3" t="s">
        <v>1004</v>
      </c>
      <c r="B1382" s="3" t="s">
        <v>1724</v>
      </c>
      <c r="C1382" s="4" t="str">
        <f>HYPERLINK("http://www.rncp.cncp.gouv.fr/grand-public/visualisationFiche?format=fr&amp;fiche=15958","15958")</f>
        <v>15958</v>
      </c>
      <c r="D1382" s="4" t="str">
        <f>HYPERLINK("http://www.intercariforef.org/formations/certification-64648.html","64648")</f>
        <v>64648</v>
      </c>
      <c r="E1382" s="5">
        <v>8007</v>
      </c>
      <c r="F1382" s="5" t="s">
        <v>10</v>
      </c>
      <c r="G1382" s="5" t="s">
        <v>11</v>
      </c>
      <c r="H1382" s="3" t="s">
        <v>1725</v>
      </c>
    </row>
    <row r="1383" spans="1:8" ht="13.8" x14ac:dyDescent="0.25">
      <c r="A1383" s="3" t="s">
        <v>1004</v>
      </c>
      <c r="B1383" s="3" t="s">
        <v>1726</v>
      </c>
      <c r="C1383" s="4" t="str">
        <f>HYPERLINK("http://www.rncp.cncp.gouv.fr/grand-public/visualisationFiche?format=fr&amp;fiche=15958","15958")</f>
        <v>15958</v>
      </c>
      <c r="D1383" s="4" t="str">
        <f>HYPERLINK("http://www.intercariforef.org/formations/certification-64647.html","64647")</f>
        <v>64647</v>
      </c>
      <c r="E1383" s="5">
        <v>8006</v>
      </c>
      <c r="F1383" s="5" t="s">
        <v>10</v>
      </c>
      <c r="G1383" s="5" t="s">
        <v>11</v>
      </c>
      <c r="H1383" s="3" t="s">
        <v>1725</v>
      </c>
    </row>
    <row r="1384" spans="1:8" ht="27.6" x14ac:dyDescent="0.25">
      <c r="A1384" s="3" t="s">
        <v>1004</v>
      </c>
      <c r="B1384" s="3" t="s">
        <v>1727</v>
      </c>
      <c r="C1384" s="4" t="str">
        <f>HYPERLINK("http://www.rncp.cncp.gouv.fr/grand-public/visualisationFiche?format=fr&amp;fiche=19383","19383")</f>
        <v>19383</v>
      </c>
      <c r="D1384" s="4" t="str">
        <f>HYPERLINK("http://www.intercariforef.org/formations/certification-83378.html","83378")</f>
        <v>83378</v>
      </c>
      <c r="E1384" s="5">
        <v>8014</v>
      </c>
      <c r="F1384" s="5" t="s">
        <v>10</v>
      </c>
      <c r="G1384" s="5" t="s">
        <v>11</v>
      </c>
      <c r="H1384" s="3" t="s">
        <v>1728</v>
      </c>
    </row>
    <row r="1385" spans="1:8" ht="13.8" x14ac:dyDescent="0.25">
      <c r="A1385" s="3" t="s">
        <v>1004</v>
      </c>
      <c r="B1385" s="3" t="s">
        <v>1729</v>
      </c>
      <c r="C1385" s="4" t="str">
        <f>HYPERLINK("http://www.rncp.cncp.gouv.fr/grand-public/visualisationFiche?format=fr&amp;fiche=16204","16204")</f>
        <v>16204</v>
      </c>
      <c r="D1385" s="4" t="str">
        <f>HYPERLINK("http://www.intercariforef.org/formations/certification-80797.html","80797")</f>
        <v>80797</v>
      </c>
      <c r="E1385" s="5">
        <v>162487</v>
      </c>
      <c r="F1385" s="5" t="s">
        <v>10</v>
      </c>
      <c r="G1385" s="5" t="s">
        <v>11</v>
      </c>
      <c r="H1385" s="3" t="s">
        <v>693</v>
      </c>
    </row>
    <row r="1386" spans="1:8" ht="27.6" x14ac:dyDescent="0.25">
      <c r="A1386" s="3" t="s">
        <v>1004</v>
      </c>
      <c r="B1386" s="3" t="s">
        <v>1730</v>
      </c>
      <c r="C1386" s="4" t="str">
        <f>HYPERLINK("http://www.rncp.cncp.gouv.fr/grand-public/visualisationFiche?format=fr&amp;fiche=19377","19377")</f>
        <v>19377</v>
      </c>
      <c r="D1386" s="4" t="str">
        <f>HYPERLINK("http://www.intercariforef.org/formations/certification-83367.html","83367")</f>
        <v>83367</v>
      </c>
      <c r="E1386" s="5">
        <v>8019</v>
      </c>
      <c r="F1386" s="5" t="s">
        <v>10</v>
      </c>
      <c r="G1386" s="5" t="s">
        <v>11</v>
      </c>
      <c r="H1386" s="3" t="s">
        <v>1731</v>
      </c>
    </row>
    <row r="1387" spans="1:8" ht="27.6" x14ac:dyDescent="0.25">
      <c r="A1387" s="3" t="s">
        <v>1004</v>
      </c>
      <c r="B1387" s="3" t="s">
        <v>1732</v>
      </c>
      <c r="C1387" s="4" t="str">
        <f>HYPERLINK("http://www.rncp.cncp.gouv.fr/grand-public/visualisationFiche?format=fr&amp;fiche=17152","17152")</f>
        <v>17152</v>
      </c>
      <c r="D1387" s="4" t="str">
        <f>HYPERLINK("http://www.intercariforef.org/formations/certification-81344.html","81344")</f>
        <v>81344</v>
      </c>
      <c r="E1387" s="5">
        <v>8025</v>
      </c>
      <c r="F1387" s="5" t="s">
        <v>10</v>
      </c>
      <c r="G1387" s="5" t="s">
        <v>11</v>
      </c>
      <c r="H1387" s="3" t="s">
        <v>148</v>
      </c>
    </row>
    <row r="1388" spans="1:8" ht="13.8" x14ac:dyDescent="0.25">
      <c r="A1388" s="3" t="s">
        <v>1004</v>
      </c>
      <c r="B1388" s="3" t="s">
        <v>1733</v>
      </c>
      <c r="C1388" s="4" t="str">
        <f>HYPERLINK("http://www.rncp.cncp.gouv.fr/grand-public/visualisationFiche?format=fr&amp;fiche=18210","18210")</f>
        <v>18210</v>
      </c>
      <c r="D1388" s="4" t="str">
        <f>HYPERLINK("http://www.intercariforef.org/formations/certification-82597.html","82597")</f>
        <v>82597</v>
      </c>
      <c r="E1388" s="5">
        <v>8028</v>
      </c>
      <c r="F1388" s="5" t="s">
        <v>10</v>
      </c>
      <c r="G1388" s="5" t="s">
        <v>11</v>
      </c>
      <c r="H1388" s="3" t="s">
        <v>1734</v>
      </c>
    </row>
    <row r="1389" spans="1:8" ht="13.8" x14ac:dyDescent="0.25">
      <c r="A1389" s="3" t="s">
        <v>1004</v>
      </c>
      <c r="B1389" s="3" t="s">
        <v>1735</v>
      </c>
      <c r="C1389" s="4" t="str">
        <f>HYPERLINK("http://www.rncp.cncp.gouv.fr/grand-public/visualisationFiche?format=fr&amp;fiche=19203","19203")</f>
        <v>19203</v>
      </c>
      <c r="D1389" s="4" t="str">
        <f>HYPERLINK("http://www.intercariforef.org/formations/certification-63113.html","63113")</f>
        <v>63113</v>
      </c>
      <c r="E1389" s="5">
        <v>8181</v>
      </c>
      <c r="F1389" s="5" t="s">
        <v>10</v>
      </c>
      <c r="G1389" s="5" t="s">
        <v>11</v>
      </c>
      <c r="H1389" s="3" t="s">
        <v>1736</v>
      </c>
    </row>
    <row r="1390" spans="1:8" ht="13.8" x14ac:dyDescent="0.25">
      <c r="A1390" s="3" t="s">
        <v>1004</v>
      </c>
      <c r="B1390" s="3" t="s">
        <v>1737</v>
      </c>
      <c r="C1390" s="4" t="str">
        <f>HYPERLINK("http://www.rncp.cncp.gouv.fr/grand-public/visualisationFiche?format=fr&amp;fiche=9840","9840")</f>
        <v>9840</v>
      </c>
      <c r="D1390" s="4" t="str">
        <f>HYPERLINK("http://www.intercariforef.org/formations/certification-69905.html","69905")</f>
        <v>69905</v>
      </c>
      <c r="E1390" s="5">
        <v>8184</v>
      </c>
      <c r="F1390" s="5" t="s">
        <v>10</v>
      </c>
      <c r="G1390" s="5" t="s">
        <v>11</v>
      </c>
      <c r="H1390" s="3" t="s">
        <v>689</v>
      </c>
    </row>
    <row r="1391" spans="1:8" ht="13.8" x14ac:dyDescent="0.25">
      <c r="A1391" s="3" t="s">
        <v>1004</v>
      </c>
      <c r="B1391" s="3" t="s">
        <v>1738</v>
      </c>
      <c r="C1391" s="4" t="str">
        <f>HYPERLINK("http://www.rncp.cncp.gouv.fr/grand-public/visualisationFiche?format=fr&amp;fiche=15894","15894")</f>
        <v>15894</v>
      </c>
      <c r="D1391" s="4" t="str">
        <f>HYPERLINK("http://www.intercariforef.org/formations/certification-83423.html","83423")</f>
        <v>83423</v>
      </c>
      <c r="E1391" s="5">
        <v>9238</v>
      </c>
      <c r="F1391" s="5" t="s">
        <v>10</v>
      </c>
      <c r="G1391" s="5" t="s">
        <v>11</v>
      </c>
      <c r="H1391" s="3" t="s">
        <v>12</v>
      </c>
    </row>
    <row r="1392" spans="1:8" ht="13.8" x14ac:dyDescent="0.25">
      <c r="A1392" s="3" t="s">
        <v>1004</v>
      </c>
      <c r="B1392" s="3" t="s">
        <v>1739</v>
      </c>
      <c r="C1392" s="4" t="str">
        <f>HYPERLINK("http://www.rncp.cncp.gouv.fr/grand-public/visualisationFiche?format=fr&amp;fiche=18154","18154")</f>
        <v>18154</v>
      </c>
      <c r="D1392" s="4" t="str">
        <f>HYPERLINK("http://www.intercariforef.org/formations/certification-82601.html","82601")</f>
        <v>82601</v>
      </c>
      <c r="E1392" s="5">
        <v>145174</v>
      </c>
      <c r="F1392" s="5" t="s">
        <v>10</v>
      </c>
      <c r="G1392" s="5" t="s">
        <v>11</v>
      </c>
      <c r="H1392" s="3" t="s">
        <v>1740</v>
      </c>
    </row>
    <row r="1393" spans="1:8" ht="13.8" x14ac:dyDescent="0.25">
      <c r="A1393" s="3" t="s">
        <v>1004</v>
      </c>
      <c r="B1393" s="3" t="s">
        <v>1741</v>
      </c>
      <c r="C1393" s="4" t="str">
        <f>HYPERLINK("http://www.rncp.cncp.gouv.fr/grand-public/visualisationFiche?format=fr&amp;fiche=15577","15577")</f>
        <v>15577</v>
      </c>
      <c r="D1393" s="4" t="str">
        <f>HYPERLINK("http://www.intercariforef.org/formations/certification-77526.html","77526")</f>
        <v>77526</v>
      </c>
      <c r="E1393" s="5">
        <v>8199</v>
      </c>
      <c r="F1393" s="5" t="s">
        <v>10</v>
      </c>
      <c r="G1393" s="5" t="s">
        <v>11</v>
      </c>
      <c r="H1393" s="3" t="s">
        <v>1742</v>
      </c>
    </row>
    <row r="1394" spans="1:8" ht="13.8" x14ac:dyDescent="0.25">
      <c r="A1394" s="3" t="s">
        <v>1004</v>
      </c>
      <c r="B1394" s="3" t="s">
        <v>1743</v>
      </c>
      <c r="C1394" s="4" t="str">
        <f>HYPERLINK("http://www.rncp.cncp.gouv.fr/grand-public/visualisationFiche?format=fr&amp;fiche=9669","9669")</f>
        <v>9669</v>
      </c>
      <c r="D1394" s="4" t="str">
        <f>HYPERLINK("http://www.intercariforef.org/formations/certification-68525.html","68525")</f>
        <v>68525</v>
      </c>
      <c r="E1394" s="5">
        <v>8212</v>
      </c>
      <c r="F1394" s="5" t="s">
        <v>10</v>
      </c>
      <c r="G1394" s="5" t="s">
        <v>11</v>
      </c>
      <c r="H1394" s="3" t="s">
        <v>1744</v>
      </c>
    </row>
    <row r="1395" spans="1:8" ht="13.8" x14ac:dyDescent="0.25">
      <c r="A1395" s="3" t="s">
        <v>1004</v>
      </c>
      <c r="B1395" s="3" t="s">
        <v>1745</v>
      </c>
      <c r="C1395" s="4" t="str">
        <f>HYPERLINK("http://www.rncp.cncp.gouv.fr/grand-public/visualisationFiche?format=fr&amp;fiche=19365","19365")</f>
        <v>19365</v>
      </c>
      <c r="D1395" s="4" t="str">
        <f>HYPERLINK("http://www.intercariforef.org/formations/certification-32042.html","32042")</f>
        <v>32042</v>
      </c>
      <c r="E1395" s="5">
        <v>8215</v>
      </c>
      <c r="F1395" s="5" t="s">
        <v>10</v>
      </c>
      <c r="G1395" s="5" t="s">
        <v>11</v>
      </c>
      <c r="H1395" s="3" t="s">
        <v>1746</v>
      </c>
    </row>
    <row r="1396" spans="1:8" ht="13.8" x14ac:dyDescent="0.25">
      <c r="A1396" s="3" t="s">
        <v>1004</v>
      </c>
      <c r="B1396" s="3" t="s">
        <v>1747</v>
      </c>
      <c r="C1396" s="4" t="str">
        <f>HYPERLINK("http://www.rncp.cncp.gouv.fr/grand-public/visualisationFiche?format=fr&amp;fiche=9842","9842")</f>
        <v>9842</v>
      </c>
      <c r="D1396" s="4" t="str">
        <f>HYPERLINK("http://www.intercariforef.org/formations/certification-69906.html","69906")</f>
        <v>69906</v>
      </c>
      <c r="E1396" s="5">
        <v>8235</v>
      </c>
      <c r="F1396" s="5" t="s">
        <v>10</v>
      </c>
      <c r="G1396" s="5" t="s">
        <v>11</v>
      </c>
      <c r="H1396" s="3" t="s">
        <v>34</v>
      </c>
    </row>
    <row r="1397" spans="1:8" ht="13.8" x14ac:dyDescent="0.25">
      <c r="A1397" s="3" t="s">
        <v>1004</v>
      </c>
      <c r="B1397" s="3" t="s">
        <v>1748</v>
      </c>
      <c r="C1397" s="4" t="str">
        <f>HYPERLINK("http://www.rncp.cncp.gouv.fr/grand-public/visualisationFiche?format=fr&amp;fiche=15026","15026")</f>
        <v>15026</v>
      </c>
      <c r="D1397" s="4" t="str">
        <f>HYPERLINK("http://www.intercariforef.org/formations/certification-57814.html","57814")</f>
        <v>57814</v>
      </c>
      <c r="E1397" s="5">
        <v>8246</v>
      </c>
      <c r="F1397" s="5" t="s">
        <v>10</v>
      </c>
      <c r="G1397" s="5" t="s">
        <v>11</v>
      </c>
      <c r="H1397" s="3" t="s">
        <v>1006</v>
      </c>
    </row>
    <row r="1398" spans="1:8" ht="13.8" x14ac:dyDescent="0.25">
      <c r="A1398" s="3" t="s">
        <v>1004</v>
      </c>
      <c r="B1398" s="3" t="s">
        <v>1749</v>
      </c>
      <c r="C1398" s="4" t="str">
        <f>HYPERLINK("http://www.rncp.cncp.gouv.fr/grand-public/visualisationFiche?format=fr&amp;fiche=2144","2144")</f>
        <v>2144</v>
      </c>
      <c r="D1398" s="4" t="str">
        <f>HYPERLINK("http://www.intercariforef.org/formations/certification-31461.html","31461")</f>
        <v>31461</v>
      </c>
      <c r="E1398" s="5">
        <v>8253</v>
      </c>
      <c r="F1398" s="5" t="s">
        <v>10</v>
      </c>
      <c r="G1398" s="5" t="s">
        <v>11</v>
      </c>
      <c r="H1398" s="3" t="s">
        <v>34</v>
      </c>
    </row>
    <row r="1399" spans="1:8" ht="27.6" x14ac:dyDescent="0.25">
      <c r="A1399" s="3" t="s">
        <v>1004</v>
      </c>
      <c r="B1399" s="3" t="s">
        <v>1750</v>
      </c>
      <c r="C1399" s="4" t="str">
        <f>HYPERLINK("http://www.rncp.cncp.gouv.fr/grand-public/visualisationFiche?format=fr&amp;fiche=12378","12378")</f>
        <v>12378</v>
      </c>
      <c r="D1399" s="4" t="str">
        <f>HYPERLINK("http://www.intercariforef.org/formations/certification-77306.html","77306")</f>
        <v>77306</v>
      </c>
      <c r="E1399" s="5">
        <v>8262</v>
      </c>
      <c r="F1399" s="5" t="s">
        <v>10</v>
      </c>
      <c r="G1399" s="5" t="s">
        <v>11</v>
      </c>
      <c r="H1399" s="3" t="s">
        <v>589</v>
      </c>
    </row>
    <row r="1400" spans="1:8" ht="27.6" x14ac:dyDescent="0.25">
      <c r="A1400" s="3" t="s">
        <v>1004</v>
      </c>
      <c r="B1400" s="3" t="s">
        <v>1751</v>
      </c>
      <c r="C1400" s="4" t="str">
        <f>HYPERLINK("http://www.rncp.cncp.gouv.fr/grand-public/visualisationFiche?format=fr&amp;fiche=12310","12310")</f>
        <v>12310</v>
      </c>
      <c r="D1400" s="4" t="str">
        <f>HYPERLINK("http://www.intercariforef.org/formations/certification-48696.html","48696")</f>
        <v>48696</v>
      </c>
      <c r="E1400" s="5">
        <v>145527</v>
      </c>
      <c r="F1400" s="5" t="s">
        <v>10</v>
      </c>
      <c r="G1400" s="5" t="s">
        <v>11</v>
      </c>
      <c r="H1400" s="3" t="s">
        <v>1752</v>
      </c>
    </row>
    <row r="1401" spans="1:8" ht="13.8" x14ac:dyDescent="0.25">
      <c r="A1401" s="3" t="s">
        <v>1004</v>
      </c>
      <c r="B1401" s="3" t="s">
        <v>1753</v>
      </c>
      <c r="C1401" s="4" t="str">
        <f>HYPERLINK("http://www.rncp.cncp.gouv.fr/grand-public/visualisationFiche?format=fr&amp;fiche=6079","6079")</f>
        <v>6079</v>
      </c>
      <c r="D1401" s="4" t="str">
        <f>HYPERLINK("http://www.intercariforef.org/formations/certification-59656.html","59656")</f>
        <v>59656</v>
      </c>
      <c r="E1401" s="5">
        <v>8277</v>
      </c>
      <c r="F1401" s="5" t="s">
        <v>10</v>
      </c>
      <c r="G1401" s="5" t="s">
        <v>11</v>
      </c>
      <c r="H1401" s="3" t="s">
        <v>1097</v>
      </c>
    </row>
    <row r="1402" spans="1:8" ht="13.8" x14ac:dyDescent="0.25">
      <c r="A1402" s="3" t="s">
        <v>1004</v>
      </c>
      <c r="B1402" s="3" t="s">
        <v>1754</v>
      </c>
      <c r="C1402" s="4" t="str">
        <f>HYPERLINK("http://www.rncp.cncp.gouv.fr/grand-public/visualisationFiche?format=fr&amp;fiche=16618","16618")</f>
        <v>16618</v>
      </c>
      <c r="D1402" s="4" t="str">
        <f>HYPERLINK("http://www.intercariforef.org/formations/certification-81114.html","81114")</f>
        <v>81114</v>
      </c>
      <c r="E1402" s="5">
        <v>8286</v>
      </c>
      <c r="F1402" s="5" t="s">
        <v>10</v>
      </c>
      <c r="G1402" s="5" t="s">
        <v>11</v>
      </c>
      <c r="H1402" s="3" t="s">
        <v>693</v>
      </c>
    </row>
    <row r="1403" spans="1:8" ht="27.6" x14ac:dyDescent="0.25">
      <c r="A1403" s="3" t="s">
        <v>1004</v>
      </c>
      <c r="B1403" s="3" t="s">
        <v>1755</v>
      </c>
      <c r="C1403" s="4" t="str">
        <f>HYPERLINK("http://www.rncp.cncp.gouv.fr/grand-public/visualisationFiche?format=fr&amp;fiche=12377","12377")</f>
        <v>12377</v>
      </c>
      <c r="D1403" s="4" t="str">
        <f>HYPERLINK("http://www.intercariforef.org/formations/certification-74847.html","74847")</f>
        <v>74847</v>
      </c>
      <c r="E1403" s="5">
        <v>8294</v>
      </c>
      <c r="F1403" s="5" t="s">
        <v>10</v>
      </c>
      <c r="G1403" s="5" t="s">
        <v>11</v>
      </c>
      <c r="H1403" s="3" t="s">
        <v>589</v>
      </c>
    </row>
    <row r="1404" spans="1:8" ht="13.8" x14ac:dyDescent="0.25">
      <c r="A1404" s="3" t="s">
        <v>1004</v>
      </c>
      <c r="B1404" s="3" t="s">
        <v>1756</v>
      </c>
      <c r="C1404" s="4" t="str">
        <f>HYPERLINK("http://www.rncp.cncp.gouv.fr/grand-public/visualisationFiche?format=fr&amp;fiche=13700","13700")</f>
        <v>13700</v>
      </c>
      <c r="D1404" s="4" t="str">
        <f>HYPERLINK("http://www.intercariforef.org/formations/certification-77011.html","77011")</f>
        <v>77011</v>
      </c>
      <c r="E1404" s="5">
        <v>162488</v>
      </c>
      <c r="F1404" s="5" t="s">
        <v>10</v>
      </c>
      <c r="G1404" s="5" t="s">
        <v>11</v>
      </c>
      <c r="H1404" s="3" t="s">
        <v>34</v>
      </c>
    </row>
    <row r="1405" spans="1:8" ht="13.8" x14ac:dyDescent="0.25">
      <c r="A1405" s="3" t="s">
        <v>1004</v>
      </c>
      <c r="B1405" s="3" t="s">
        <v>1757</v>
      </c>
      <c r="C1405" s="4" t="str">
        <f>HYPERLINK("http://www.rncp.cncp.gouv.fr/grand-public/visualisationFiche?format=fr&amp;fiche=16926","16926")</f>
        <v>16926</v>
      </c>
      <c r="D1405" s="4" t="str">
        <f>HYPERLINK("http://www.intercariforef.org/formations/certification-76763.html","76763")</f>
        <v>76763</v>
      </c>
      <c r="E1405" s="5">
        <v>162489</v>
      </c>
      <c r="F1405" s="5" t="s">
        <v>10</v>
      </c>
      <c r="G1405" s="5" t="s">
        <v>11</v>
      </c>
      <c r="H1405" s="3" t="s">
        <v>1758</v>
      </c>
    </row>
    <row r="1406" spans="1:8" ht="13.8" x14ac:dyDescent="0.25">
      <c r="A1406" s="3" t="s">
        <v>1004</v>
      </c>
      <c r="B1406" s="3" t="s">
        <v>1759</v>
      </c>
      <c r="C1406" s="4" t="str">
        <f>HYPERLINK("http://www.rncp.cncp.gouv.fr/grand-public/visualisationFiche?format=fr&amp;fiche=16578","16578")</f>
        <v>16578</v>
      </c>
      <c r="D1406" s="4" t="str">
        <f>HYPERLINK("http://www.intercariforef.org/formations/certification-80794.html","80794")</f>
        <v>80794</v>
      </c>
      <c r="E1406" s="5">
        <v>8299</v>
      </c>
      <c r="F1406" s="5" t="s">
        <v>10</v>
      </c>
      <c r="G1406" s="5" t="s">
        <v>11</v>
      </c>
      <c r="H1406" s="3" t="s">
        <v>602</v>
      </c>
    </row>
    <row r="1407" spans="1:8" ht="13.8" x14ac:dyDescent="0.25">
      <c r="A1407" s="3" t="s">
        <v>1004</v>
      </c>
      <c r="B1407" s="3" t="s">
        <v>1760</v>
      </c>
      <c r="C1407" s="4" t="str">
        <f>HYPERLINK("http://www.rncp.cncp.gouv.fr/grand-public/visualisationFiche?format=fr&amp;fiche=15250","15250")</f>
        <v>15250</v>
      </c>
      <c r="D1407" s="4" t="str">
        <f>HYPERLINK("http://www.intercariforef.org/formations/certification-57531.html","57531")</f>
        <v>57531</v>
      </c>
      <c r="E1407" s="5">
        <v>8405</v>
      </c>
      <c r="F1407" s="5" t="s">
        <v>10</v>
      </c>
      <c r="G1407" s="5" t="s">
        <v>11</v>
      </c>
      <c r="H1407" s="3" t="s">
        <v>632</v>
      </c>
    </row>
    <row r="1408" spans="1:8" ht="27.6" x14ac:dyDescent="0.25">
      <c r="A1408" s="3" t="s">
        <v>1004</v>
      </c>
      <c r="B1408" s="3" t="s">
        <v>1761</v>
      </c>
      <c r="C1408" s="4" t="str">
        <f>HYPERLINK("http://www.rncp.cncp.gouv.fr/grand-public/visualisationFiche?format=fr&amp;fiche=15058","15058")</f>
        <v>15058</v>
      </c>
      <c r="D1408" s="4" t="str">
        <f>HYPERLINK("http://www.intercariforef.org/formations/certification-48635.html","48635")</f>
        <v>48635</v>
      </c>
      <c r="E1408" s="5">
        <v>8404</v>
      </c>
      <c r="F1408" s="5" t="s">
        <v>10</v>
      </c>
      <c r="G1408" s="5" t="s">
        <v>11</v>
      </c>
      <c r="H1408" s="3" t="s">
        <v>1762</v>
      </c>
    </row>
    <row r="1409" spans="1:8" ht="27.6" x14ac:dyDescent="0.25">
      <c r="A1409" s="3" t="s">
        <v>1004</v>
      </c>
      <c r="B1409" s="3" t="s">
        <v>1761</v>
      </c>
      <c r="C1409" s="4" t="str">
        <f>HYPERLINK("http://www.rncp.cncp.gouv.fr/grand-public/visualisationFiche?format=fr&amp;fiche=13884","13884")</f>
        <v>13884</v>
      </c>
      <c r="D1409" s="4" t="str">
        <f>HYPERLINK("http://www.intercariforef.org/formations/certification-77003.html","77003")</f>
        <v>77003</v>
      </c>
      <c r="E1409" s="5">
        <v>8406</v>
      </c>
      <c r="F1409" s="5" t="s">
        <v>10</v>
      </c>
      <c r="G1409" s="5" t="s">
        <v>11</v>
      </c>
      <c r="H1409" s="3" t="s">
        <v>1763</v>
      </c>
    </row>
    <row r="1410" spans="1:8" ht="27.6" x14ac:dyDescent="0.25">
      <c r="A1410" s="3" t="s">
        <v>1004</v>
      </c>
      <c r="B1410" s="3" t="s">
        <v>1764</v>
      </c>
      <c r="C1410" s="4" t="str">
        <f>HYPERLINK("http://www.rncp.cncp.gouv.fr/grand-public/visualisationFiche?format=fr&amp;fiche=17833","17833")</f>
        <v>17833</v>
      </c>
      <c r="D1410" s="4" t="str">
        <f>HYPERLINK("http://www.intercariforef.org/formations/certification-31466.html","31466")</f>
        <v>31466</v>
      </c>
      <c r="E1410" s="5">
        <v>8403</v>
      </c>
      <c r="F1410" s="5" t="s">
        <v>10</v>
      </c>
      <c r="G1410" s="5" t="s">
        <v>11</v>
      </c>
      <c r="H1410" s="3" t="s">
        <v>1765</v>
      </c>
    </row>
    <row r="1411" spans="1:8" ht="13.8" x14ac:dyDescent="0.25">
      <c r="A1411" s="3" t="s">
        <v>1004</v>
      </c>
      <c r="B1411" s="3" t="s">
        <v>1766</v>
      </c>
      <c r="C1411" s="4" t="str">
        <f>HYPERLINK("http://www.rncp.cncp.gouv.fr/grand-public/visualisationFiche?format=fr&amp;fiche=1739","1739")</f>
        <v>1739</v>
      </c>
      <c r="D1411" s="4" t="str">
        <f>HYPERLINK("http://www.intercariforef.org/formations/certification-49952.html","49952")</f>
        <v>49952</v>
      </c>
      <c r="E1411" s="5">
        <v>8413</v>
      </c>
      <c r="F1411" s="5" t="s">
        <v>10</v>
      </c>
      <c r="G1411" s="5" t="s">
        <v>11</v>
      </c>
      <c r="H1411" s="3" t="s">
        <v>1767</v>
      </c>
    </row>
    <row r="1412" spans="1:8" ht="13.8" x14ac:dyDescent="0.25">
      <c r="A1412" s="3" t="s">
        <v>1004</v>
      </c>
      <c r="B1412" s="3" t="s">
        <v>1768</v>
      </c>
      <c r="C1412" s="4" t="str">
        <f>HYPERLINK("http://www.rncp.cncp.gouv.fr/grand-public/visualisationFiche?format=fr&amp;fiche=19407","19407")</f>
        <v>19407</v>
      </c>
      <c r="D1412" s="4" t="str">
        <f>HYPERLINK("http://www.intercariforef.org/formations/certification-83400.html","83400")</f>
        <v>83400</v>
      </c>
      <c r="E1412" s="5">
        <v>8415</v>
      </c>
      <c r="F1412" s="5" t="s">
        <v>10</v>
      </c>
      <c r="G1412" s="5" t="s">
        <v>11</v>
      </c>
      <c r="H1412" s="3" t="s">
        <v>1166</v>
      </c>
    </row>
    <row r="1413" spans="1:8" ht="13.8" x14ac:dyDescent="0.25">
      <c r="A1413" s="3" t="s">
        <v>1004</v>
      </c>
      <c r="B1413" s="3" t="s">
        <v>1769</v>
      </c>
      <c r="C1413" s="4" t="str">
        <f>HYPERLINK("http://www.rncp.cncp.gouv.fr/grand-public/visualisationFiche?format=fr&amp;fiche=23936","23936")</f>
        <v>23936</v>
      </c>
      <c r="D1413" s="4" t="str">
        <f>HYPERLINK("http://www.intercariforef.org/formations/certification-77554.html","77554")</f>
        <v>77554</v>
      </c>
      <c r="E1413" s="5">
        <v>17510</v>
      </c>
      <c r="F1413" s="5" t="s">
        <v>10</v>
      </c>
      <c r="G1413" s="5" t="s">
        <v>11</v>
      </c>
      <c r="H1413" s="3" t="s">
        <v>1770</v>
      </c>
    </row>
    <row r="1414" spans="1:8" ht="27.6" x14ac:dyDescent="0.25">
      <c r="A1414" s="3" t="s">
        <v>1004</v>
      </c>
      <c r="B1414" s="3" t="s">
        <v>1771</v>
      </c>
      <c r="C1414" s="4" t="str">
        <f>HYPERLINK("http://www.rncp.cncp.gouv.fr/grand-public/visualisationFiche?format=fr&amp;fiche=20533","20533")</f>
        <v>20533</v>
      </c>
      <c r="D1414" s="4" t="str">
        <f>HYPERLINK("http://www.intercariforef.org/formations/certification-53197.html","53197")</f>
        <v>53197</v>
      </c>
      <c r="E1414" s="5">
        <v>17511</v>
      </c>
      <c r="F1414" s="5" t="s">
        <v>10</v>
      </c>
      <c r="G1414" s="5" t="s">
        <v>11</v>
      </c>
      <c r="H1414" s="3" t="s">
        <v>1772</v>
      </c>
    </row>
    <row r="1415" spans="1:8" ht="13.8" x14ac:dyDescent="0.25">
      <c r="A1415" s="3" t="s">
        <v>1004</v>
      </c>
      <c r="B1415" s="3" t="s">
        <v>1773</v>
      </c>
      <c r="C1415" s="4" t="str">
        <f>HYPERLINK("http://www.rncp.cncp.gouv.fr/grand-public/visualisationFiche?format=fr&amp;fiche=19403","19403")</f>
        <v>19403</v>
      </c>
      <c r="D1415" s="4" t="str">
        <f>HYPERLINK("http://www.intercariforef.org/formations/certification-54315.html","54315")</f>
        <v>54315</v>
      </c>
      <c r="E1415" s="5">
        <v>17512</v>
      </c>
      <c r="F1415" s="5" t="s">
        <v>10</v>
      </c>
      <c r="G1415" s="5" t="s">
        <v>11</v>
      </c>
      <c r="H1415" s="3" t="s">
        <v>627</v>
      </c>
    </row>
    <row r="1416" spans="1:8" ht="27.6" x14ac:dyDescent="0.25">
      <c r="A1416" s="3" t="s">
        <v>1004</v>
      </c>
      <c r="B1416" s="3" t="s">
        <v>1774</v>
      </c>
      <c r="C1416" s="4" t="str">
        <f>HYPERLINK("http://www.rncp.cncp.gouv.fr/grand-public/visualisationFiche?format=fr&amp;fiche=19390","19390")</f>
        <v>19390</v>
      </c>
      <c r="D1416" s="4" t="str">
        <f>HYPERLINK("http://www.intercariforef.org/formations/certification-56109.html","56109")</f>
        <v>56109</v>
      </c>
      <c r="E1416" s="5">
        <v>8460</v>
      </c>
      <c r="F1416" s="5" t="s">
        <v>10</v>
      </c>
      <c r="G1416" s="5" t="s">
        <v>11</v>
      </c>
      <c r="H1416" s="3" t="s">
        <v>659</v>
      </c>
    </row>
    <row r="1417" spans="1:8" ht="13.8" x14ac:dyDescent="0.25">
      <c r="A1417" s="3" t="s">
        <v>1004</v>
      </c>
      <c r="B1417" s="3" t="s">
        <v>1775</v>
      </c>
      <c r="C1417" s="4" t="str">
        <f>HYPERLINK("http://www.rncp.cncp.gouv.fr/grand-public/visualisationFiche?format=fr&amp;fiche=16886","16886")</f>
        <v>16886</v>
      </c>
      <c r="D1417" s="4" t="str">
        <f>HYPERLINK("http://www.intercariforef.org/formations/certification-81345.html","81345")</f>
        <v>81345</v>
      </c>
      <c r="E1417" s="5">
        <v>8464</v>
      </c>
      <c r="F1417" s="5" t="s">
        <v>10</v>
      </c>
      <c r="G1417" s="5" t="s">
        <v>11</v>
      </c>
      <c r="H1417" s="3" t="s">
        <v>1776</v>
      </c>
    </row>
    <row r="1418" spans="1:8" ht="27.6" x14ac:dyDescent="0.25">
      <c r="A1418" s="3" t="s">
        <v>1004</v>
      </c>
      <c r="B1418" s="3" t="s">
        <v>1777</v>
      </c>
      <c r="C1418" s="4" t="str">
        <f>HYPERLINK("http://www.rncp.cncp.gouv.fr/grand-public/visualisationFiche?format=fr&amp;fiche=18020","18020")</f>
        <v>18020</v>
      </c>
      <c r="D1418" s="4" t="str">
        <f>HYPERLINK("http://www.intercariforef.org/formations/certification-81094.html","81094")</f>
        <v>81094</v>
      </c>
      <c r="E1418" s="5">
        <v>8475</v>
      </c>
      <c r="F1418" s="5" t="s">
        <v>10</v>
      </c>
      <c r="G1418" s="5" t="s">
        <v>11</v>
      </c>
      <c r="H1418" s="3" t="s">
        <v>1778</v>
      </c>
    </row>
    <row r="1419" spans="1:8" ht="13.8" x14ac:dyDescent="0.25">
      <c r="A1419" s="3" t="s">
        <v>1004</v>
      </c>
      <c r="B1419" s="3" t="s">
        <v>1779</v>
      </c>
      <c r="C1419" s="4" t="str">
        <f>HYPERLINK("http://www.rncp.cncp.gouv.fr/grand-public/visualisationFiche?format=fr&amp;fiche=6076","6076")</f>
        <v>6076</v>
      </c>
      <c r="D1419" s="4" t="str">
        <f>HYPERLINK("http://www.intercariforef.org/formations/certification-59652.html","59652")</f>
        <v>59652</v>
      </c>
      <c r="E1419" s="5">
        <v>8479</v>
      </c>
      <c r="F1419" s="5" t="s">
        <v>10</v>
      </c>
      <c r="G1419" s="5" t="s">
        <v>11</v>
      </c>
      <c r="H1419" s="3" t="s">
        <v>1780</v>
      </c>
    </row>
    <row r="1420" spans="1:8" ht="13.8" x14ac:dyDescent="0.25">
      <c r="A1420" s="3" t="s">
        <v>1004</v>
      </c>
      <c r="B1420" s="3" t="s">
        <v>1781</v>
      </c>
      <c r="C1420" s="4" t="str">
        <f>HYPERLINK("http://www.rncp.cncp.gouv.fr/grand-public/visualisationFiche?format=fr&amp;fiche=16579","16579")</f>
        <v>16579</v>
      </c>
      <c r="D1420" s="4" t="str">
        <f>HYPERLINK("http://www.intercariforef.org/formations/certification-31475.html","31475")</f>
        <v>31475</v>
      </c>
      <c r="E1420" s="5">
        <v>8481</v>
      </c>
      <c r="F1420" s="5" t="s">
        <v>10</v>
      </c>
      <c r="G1420" s="5" t="s">
        <v>11</v>
      </c>
      <c r="H1420" s="3" t="s">
        <v>1782</v>
      </c>
    </row>
    <row r="1421" spans="1:8" ht="27.6" x14ac:dyDescent="0.25">
      <c r="A1421" s="3" t="s">
        <v>1004</v>
      </c>
      <c r="B1421" s="3" t="s">
        <v>1783</v>
      </c>
      <c r="C1421" s="4" t="str">
        <f>HYPERLINK("http://www.rncp.cncp.gouv.fr/grand-public/visualisationFiche?format=fr&amp;fiche=19391","19391")</f>
        <v>19391</v>
      </c>
      <c r="D1421" s="4" t="str">
        <f>HYPERLINK("http://www.intercariforef.org/formations/certification-83391.html","83391")</f>
        <v>83391</v>
      </c>
      <c r="E1421" s="5">
        <v>8485</v>
      </c>
      <c r="F1421" s="5" t="s">
        <v>10</v>
      </c>
      <c r="G1421" s="5" t="s">
        <v>11</v>
      </c>
      <c r="H1421" s="3" t="s">
        <v>659</v>
      </c>
    </row>
    <row r="1422" spans="1:8" ht="13.8" x14ac:dyDescent="0.25">
      <c r="A1422" s="3" t="s">
        <v>1004</v>
      </c>
      <c r="B1422" s="3" t="s">
        <v>1784</v>
      </c>
      <c r="C1422" s="4" t="str">
        <f>HYPERLINK("http://www.rncp.cncp.gouv.fr/grand-public/visualisationFiche?format=fr&amp;fiche=12990","12990")</f>
        <v>12990</v>
      </c>
      <c r="D1422" s="4" t="str">
        <f>HYPERLINK("http://www.intercariforef.org/formations/certification-76240.html","76240")</f>
        <v>76240</v>
      </c>
      <c r="E1422" s="5">
        <v>17513</v>
      </c>
      <c r="F1422" s="5" t="s">
        <v>10</v>
      </c>
      <c r="G1422" s="5" t="s">
        <v>11</v>
      </c>
      <c r="H1422" s="3" t="s">
        <v>1785</v>
      </c>
    </row>
    <row r="1423" spans="1:8" ht="13.8" x14ac:dyDescent="0.25">
      <c r="A1423" s="3" t="s">
        <v>1004</v>
      </c>
      <c r="B1423" s="3" t="s">
        <v>1786</v>
      </c>
      <c r="C1423" s="4" t="str">
        <f>HYPERLINK("http://www.rncp.cncp.gouv.fr/grand-public/visualisationFiche?format=fr&amp;fiche=15242","15242")</f>
        <v>15242</v>
      </c>
      <c r="D1423" s="4" t="str">
        <f>HYPERLINK("http://www.intercariforef.org/formations/certification-69943.html","69943")</f>
        <v>69943</v>
      </c>
      <c r="E1423" s="5">
        <v>8509</v>
      </c>
      <c r="F1423" s="5" t="s">
        <v>10</v>
      </c>
      <c r="G1423" s="5" t="s">
        <v>11</v>
      </c>
      <c r="H1423" s="3" t="s">
        <v>1787</v>
      </c>
    </row>
    <row r="1424" spans="1:8" ht="13.8" x14ac:dyDescent="0.25">
      <c r="A1424" s="3" t="s">
        <v>1004</v>
      </c>
      <c r="B1424" s="3" t="s">
        <v>1788</v>
      </c>
      <c r="C1424" s="4" t="str">
        <f>HYPERLINK("http://www.rncp.cncp.gouv.fr/grand-public/visualisationFiche?format=fr&amp;fiche=6010","6010")</f>
        <v>6010</v>
      </c>
      <c r="D1424" s="4" t="str">
        <f>HYPERLINK("http://www.intercariforef.org/formations/certification-59399.html","59399")</f>
        <v>59399</v>
      </c>
      <c r="E1424" s="5">
        <v>8511</v>
      </c>
      <c r="F1424" s="5" t="s">
        <v>10</v>
      </c>
      <c r="G1424" s="5" t="s">
        <v>11</v>
      </c>
      <c r="H1424" s="3" t="s">
        <v>1066</v>
      </c>
    </row>
    <row r="1425" spans="1:8" ht="13.8" x14ac:dyDescent="0.25">
      <c r="A1425" s="3" t="s">
        <v>1004</v>
      </c>
      <c r="B1425" s="3" t="s">
        <v>1789</v>
      </c>
      <c r="C1425" s="4" t="str">
        <f>HYPERLINK("http://www.rncp.cncp.gouv.fr/grand-public/visualisationFiche?format=fr&amp;fiche=23672","23672")</f>
        <v>23672</v>
      </c>
      <c r="D1425" s="4" t="str">
        <f>HYPERLINK("http://www.intercariforef.org/formations/certification-31477.html","31477")</f>
        <v>31477</v>
      </c>
      <c r="E1425" s="5">
        <v>155043</v>
      </c>
      <c r="F1425" s="5" t="s">
        <v>10</v>
      </c>
      <c r="G1425" s="5" t="s">
        <v>11</v>
      </c>
      <c r="H1425" s="3" t="s">
        <v>1790</v>
      </c>
    </row>
    <row r="1426" spans="1:8" ht="13.8" x14ac:dyDescent="0.25">
      <c r="A1426" s="3" t="s">
        <v>1004</v>
      </c>
      <c r="B1426" s="3" t="s">
        <v>1791</v>
      </c>
      <c r="C1426" s="4" t="str">
        <f>HYPERLINK("http://www.rncp.cncp.gouv.fr/grand-public/visualisationFiche?format=fr&amp;fiche=5400","5400")</f>
        <v>5400</v>
      </c>
      <c r="D1426" s="4" t="str">
        <f>HYPERLINK("http://www.intercariforef.org/formations/certification-53699.html","53699")</f>
        <v>53699</v>
      </c>
      <c r="E1426" s="5">
        <v>8513</v>
      </c>
      <c r="F1426" s="5" t="s">
        <v>10</v>
      </c>
      <c r="G1426" s="5" t="s">
        <v>11</v>
      </c>
      <c r="H1426" s="3" t="s">
        <v>34</v>
      </c>
    </row>
    <row r="1427" spans="1:8" ht="27.6" x14ac:dyDescent="0.25">
      <c r="A1427" s="3" t="s">
        <v>1004</v>
      </c>
      <c r="B1427" s="3" t="s">
        <v>1792</v>
      </c>
      <c r="C1427" s="4" t="str">
        <f>HYPERLINK("http://www.rncp.cncp.gouv.fr/grand-public/visualisationFiche?format=fr&amp;fiche=13890","13890")</f>
        <v>13890</v>
      </c>
      <c r="D1427" s="4" t="str">
        <f>HYPERLINK("http://www.intercariforef.org/formations/certification-52704.html","52704")</f>
        <v>52704</v>
      </c>
      <c r="E1427" s="5">
        <v>17515</v>
      </c>
      <c r="F1427" s="5" t="s">
        <v>10</v>
      </c>
      <c r="G1427" s="5" t="s">
        <v>11</v>
      </c>
      <c r="H1427" s="3" t="s">
        <v>1033</v>
      </c>
    </row>
    <row r="1428" spans="1:8" ht="27.6" x14ac:dyDescent="0.25">
      <c r="A1428" s="3" t="s">
        <v>1004</v>
      </c>
      <c r="B1428" s="3" t="s">
        <v>1793</v>
      </c>
      <c r="C1428" s="4" t="str">
        <f>HYPERLINK("http://www.rncp.cncp.gouv.fr/grand-public/visualisationFiche?format=fr&amp;fiche=13387","13387")</f>
        <v>13387</v>
      </c>
      <c r="D1428" s="4" t="str">
        <f>HYPERLINK("http://www.intercariforef.org/formations/certification-76768.html","76768")</f>
        <v>76768</v>
      </c>
      <c r="E1428" s="5">
        <v>9244</v>
      </c>
      <c r="F1428" s="5" t="s">
        <v>10</v>
      </c>
      <c r="G1428" s="5" t="s">
        <v>11</v>
      </c>
      <c r="H1428" s="3" t="s">
        <v>1794</v>
      </c>
    </row>
    <row r="1429" spans="1:8" ht="27.6" x14ac:dyDescent="0.25">
      <c r="A1429" s="3" t="s">
        <v>1004</v>
      </c>
      <c r="B1429" s="3" t="s">
        <v>1795</v>
      </c>
      <c r="C1429" s="4" t="str">
        <f>HYPERLINK("http://www.rncp.cncp.gouv.fr/grand-public/visualisationFiche?format=fr&amp;fiche=21945","21945")</f>
        <v>21945</v>
      </c>
      <c r="D1429" s="4" t="str">
        <f>HYPERLINK("http://www.intercariforef.org/formations/certification-83214.html","83214")</f>
        <v>83214</v>
      </c>
      <c r="E1429" s="5">
        <v>17514</v>
      </c>
      <c r="F1429" s="5" t="s">
        <v>10</v>
      </c>
      <c r="G1429" s="5" t="s">
        <v>11</v>
      </c>
      <c r="H1429" s="3" t="s">
        <v>1115</v>
      </c>
    </row>
    <row r="1430" spans="1:8" ht="13.8" x14ac:dyDescent="0.25">
      <c r="A1430" s="3" t="s">
        <v>1004</v>
      </c>
      <c r="B1430" s="3" t="s">
        <v>1796</v>
      </c>
      <c r="C1430" s="4" t="str">
        <f>HYPERLINK("http://www.rncp.cncp.gouv.fr/grand-public/visualisationFiche?format=fr&amp;fiche=15265","15265")</f>
        <v>15265</v>
      </c>
      <c r="D1430" s="4" t="str">
        <f>HYPERLINK("http://www.intercariforef.org/formations/certification-51509.html","51509")</f>
        <v>51509</v>
      </c>
      <c r="E1430" s="5">
        <v>155042</v>
      </c>
      <c r="F1430" s="5" t="s">
        <v>10</v>
      </c>
      <c r="G1430" s="5" t="s">
        <v>11</v>
      </c>
      <c r="H1430" s="3" t="s">
        <v>1797</v>
      </c>
    </row>
    <row r="1431" spans="1:8" ht="27.6" x14ac:dyDescent="0.25">
      <c r="A1431" s="3" t="s">
        <v>1004</v>
      </c>
      <c r="B1431" s="3" t="s">
        <v>1798</v>
      </c>
      <c r="C1431" s="4" t="str">
        <f>HYPERLINK("http://www.rncp.cncp.gouv.fr/grand-public/visualisationFiche?format=fr&amp;fiche=16924","16924")</f>
        <v>16924</v>
      </c>
      <c r="D1431" s="4" t="str">
        <f>HYPERLINK("http://www.intercariforef.org/formations/certification-74871.html","74871")</f>
        <v>74871</v>
      </c>
      <c r="E1431" s="5">
        <v>9256</v>
      </c>
      <c r="F1431" s="5" t="s">
        <v>10</v>
      </c>
      <c r="G1431" s="5" t="s">
        <v>11</v>
      </c>
      <c r="H1431" s="3" t="s">
        <v>685</v>
      </c>
    </row>
    <row r="1432" spans="1:8" ht="13.8" x14ac:dyDescent="0.25">
      <c r="A1432" s="3" t="s">
        <v>1004</v>
      </c>
      <c r="B1432" s="3" t="s">
        <v>1799</v>
      </c>
      <c r="C1432" s="4" t="str">
        <f>HYPERLINK("http://www.rncp.cncp.gouv.fr/grand-public/visualisationFiche?format=fr&amp;fiche=15034","15034")</f>
        <v>15034</v>
      </c>
      <c r="D1432" s="4" t="str">
        <f>HYPERLINK("http://www.intercariforef.org/formations/certification-78862.html","78862")</f>
        <v>78862</v>
      </c>
      <c r="E1432" s="5">
        <v>9258</v>
      </c>
      <c r="F1432" s="5" t="s">
        <v>10</v>
      </c>
      <c r="G1432" s="5" t="s">
        <v>11</v>
      </c>
      <c r="H1432" s="3" t="s">
        <v>34</v>
      </c>
    </row>
    <row r="1433" spans="1:8" ht="27.6" x14ac:dyDescent="0.25">
      <c r="A1433" s="3" t="s">
        <v>1004</v>
      </c>
      <c r="B1433" s="3" t="s">
        <v>1800</v>
      </c>
      <c r="C1433" s="4" t="str">
        <f>HYPERLINK("http://www.rncp.cncp.gouv.fr/grand-public/visualisationFiche?format=fr&amp;fiche=4928","4928")</f>
        <v>4928</v>
      </c>
      <c r="D1433" s="4" t="str">
        <f>HYPERLINK("http://www.intercariforef.org/formations/certification-54768.html","54768")</f>
        <v>54768</v>
      </c>
      <c r="E1433" s="5">
        <v>8515</v>
      </c>
      <c r="F1433" s="5" t="s">
        <v>10</v>
      </c>
      <c r="G1433" s="5" t="s">
        <v>11</v>
      </c>
      <c r="H1433" s="3" t="s">
        <v>1801</v>
      </c>
    </row>
    <row r="1434" spans="1:8" ht="13.8" x14ac:dyDescent="0.25">
      <c r="A1434" s="3" t="s">
        <v>1004</v>
      </c>
      <c r="B1434" s="3" t="s">
        <v>1802</v>
      </c>
      <c r="C1434" s="4" t="str">
        <f>HYPERLINK("http://www.rncp.cncp.gouv.fr/grand-public/visualisationFiche?format=fr&amp;fiche=2116","2116")</f>
        <v>2116</v>
      </c>
      <c r="D1434" s="4" t="str">
        <f>HYPERLINK("http://www.intercariforef.org/formations/certification-31486.html","31486")</f>
        <v>31486</v>
      </c>
      <c r="E1434" s="5">
        <v>8519</v>
      </c>
      <c r="F1434" s="5" t="s">
        <v>10</v>
      </c>
      <c r="G1434" s="5" t="s">
        <v>11</v>
      </c>
      <c r="H1434" s="3" t="s">
        <v>1803</v>
      </c>
    </row>
    <row r="1435" spans="1:8" ht="13.8" x14ac:dyDescent="0.25">
      <c r="A1435" s="3" t="s">
        <v>1004</v>
      </c>
      <c r="B1435" s="3" t="s">
        <v>1804</v>
      </c>
      <c r="C1435" s="4" t="str">
        <f>HYPERLINK("http://www.rncp.cncp.gouv.fr/grand-public/visualisationFiche?format=fr&amp;fiche=12827","12827")</f>
        <v>12827</v>
      </c>
      <c r="D1435" s="4" t="str">
        <f>HYPERLINK("http://www.intercariforef.org/formations/certification-75958.html","75958")</f>
        <v>75958</v>
      </c>
      <c r="E1435" s="5">
        <v>8520</v>
      </c>
      <c r="F1435" s="5" t="s">
        <v>10</v>
      </c>
      <c r="G1435" s="5" t="s">
        <v>11</v>
      </c>
      <c r="H1435" s="3" t="s">
        <v>34</v>
      </c>
    </row>
    <row r="1436" spans="1:8" ht="13.8" x14ac:dyDescent="0.25">
      <c r="A1436" s="3" t="s">
        <v>1004</v>
      </c>
      <c r="B1436" s="3" t="s">
        <v>1805</v>
      </c>
      <c r="C1436" s="4" t="str">
        <f>HYPERLINK("http://www.rncp.cncp.gouv.fr/grand-public/visualisationFiche?format=fr&amp;fiche=15336","15336")</f>
        <v>15336</v>
      </c>
      <c r="D1436" s="4" t="str">
        <f>HYPERLINK("http://www.intercariforef.org/formations/certification-54767.html","54767")</f>
        <v>54767</v>
      </c>
      <c r="E1436" s="5">
        <v>8524</v>
      </c>
      <c r="F1436" s="5" t="s">
        <v>10</v>
      </c>
      <c r="G1436" s="5" t="s">
        <v>11</v>
      </c>
      <c r="H1436" s="3" t="s">
        <v>750</v>
      </c>
    </row>
    <row r="1437" spans="1:8" ht="13.8" x14ac:dyDescent="0.25">
      <c r="A1437" s="3" t="s">
        <v>1004</v>
      </c>
      <c r="B1437" s="3" t="s">
        <v>1806</v>
      </c>
      <c r="C1437" s="4" t="str">
        <f>HYPERLINK("http://www.rncp.cncp.gouv.fr/grand-public/visualisationFiche?format=fr&amp;fiche=16058","16058")</f>
        <v>16058</v>
      </c>
      <c r="D1437" s="4" t="str">
        <f>HYPERLINK("http://www.intercariforef.org/formations/certification-80516.html","80516")</f>
        <v>80516</v>
      </c>
      <c r="E1437" s="5">
        <v>8528</v>
      </c>
      <c r="F1437" s="5" t="s">
        <v>10</v>
      </c>
      <c r="G1437" s="5" t="s">
        <v>11</v>
      </c>
      <c r="H1437" s="3" t="s">
        <v>1807</v>
      </c>
    </row>
    <row r="1438" spans="1:8" ht="13.8" x14ac:dyDescent="0.25">
      <c r="A1438" s="3" t="s">
        <v>1004</v>
      </c>
      <c r="B1438" s="3" t="s">
        <v>1808</v>
      </c>
      <c r="C1438" s="4" t="str">
        <f>HYPERLINK("http://www.rncp.cncp.gouv.fr/grand-public/visualisationFiche?format=fr&amp;fiche=18019","18019")</f>
        <v>18019</v>
      </c>
      <c r="D1438" s="4" t="str">
        <f>HYPERLINK("http://www.intercariforef.org/formations/certification-81349.html","81349")</f>
        <v>81349</v>
      </c>
      <c r="E1438" s="5">
        <v>8527</v>
      </c>
      <c r="F1438" s="5" t="s">
        <v>10</v>
      </c>
      <c r="G1438" s="5" t="s">
        <v>11</v>
      </c>
      <c r="H1438" s="3" t="s">
        <v>1809</v>
      </c>
    </row>
    <row r="1439" spans="1:8" ht="13.8" x14ac:dyDescent="0.25">
      <c r="A1439" s="3" t="s">
        <v>1004</v>
      </c>
      <c r="B1439" s="3" t="s">
        <v>1810</v>
      </c>
      <c r="C1439" s="4" t="str">
        <f>HYPERLINK("http://www.rncp.cncp.gouv.fr/grand-public/visualisationFiche?format=fr&amp;fiche=6938","6938")</f>
        <v>6938</v>
      </c>
      <c r="D1439" s="4" t="str">
        <f>HYPERLINK("http://www.intercariforef.org/formations/certification-63000.html","63000")</f>
        <v>63000</v>
      </c>
      <c r="E1439" s="5">
        <v>8530</v>
      </c>
      <c r="F1439" s="5" t="s">
        <v>10</v>
      </c>
      <c r="G1439" s="5" t="s">
        <v>11</v>
      </c>
      <c r="H1439" s="3" t="s">
        <v>1811</v>
      </c>
    </row>
    <row r="1440" spans="1:8" ht="13.8" x14ac:dyDescent="0.25">
      <c r="A1440" s="3" t="s">
        <v>1004</v>
      </c>
      <c r="B1440" s="3" t="s">
        <v>1812</v>
      </c>
      <c r="C1440" s="4" t="str">
        <f>HYPERLINK("http://www.rncp.cncp.gouv.fr/grand-public/visualisationFiche?format=fr&amp;fiche=17992","17992")</f>
        <v>17992</v>
      </c>
      <c r="D1440" s="4" t="str">
        <f>HYPERLINK("http://www.intercariforef.org/formations/certification-57960.html","57960")</f>
        <v>57960</v>
      </c>
      <c r="E1440" s="5">
        <v>162490</v>
      </c>
      <c r="F1440" s="5" t="s">
        <v>10</v>
      </c>
      <c r="G1440" s="5" t="s">
        <v>11</v>
      </c>
      <c r="H1440" s="3" t="s">
        <v>1813</v>
      </c>
    </row>
    <row r="1441" spans="1:8" ht="13.8" x14ac:dyDescent="0.25">
      <c r="A1441" s="3" t="s">
        <v>1004</v>
      </c>
      <c r="B1441" s="3" t="s">
        <v>1814</v>
      </c>
      <c r="C1441" s="4" t="str">
        <f>HYPERLINK("http://www.rncp.cncp.gouv.fr/grand-public/visualisationFiche?format=fr&amp;fiche=12829","12829")</f>
        <v>12829</v>
      </c>
      <c r="D1441" s="4" t="str">
        <f>HYPERLINK("http://www.intercariforef.org/formations/certification-75961.html","75961")</f>
        <v>75961</v>
      </c>
      <c r="E1441" s="5">
        <v>8533</v>
      </c>
      <c r="F1441" s="5" t="s">
        <v>10</v>
      </c>
      <c r="G1441" s="5" t="s">
        <v>11</v>
      </c>
      <c r="H1441" s="3" t="s">
        <v>1815</v>
      </c>
    </row>
    <row r="1442" spans="1:8" ht="13.8" x14ac:dyDescent="0.25">
      <c r="A1442" s="3" t="s">
        <v>1004</v>
      </c>
      <c r="B1442" s="3" t="s">
        <v>1816</v>
      </c>
      <c r="C1442" s="4" t="str">
        <f>HYPERLINK("http://www.rncp.cncp.gouv.fr/grand-public/visualisationFiche?format=fr&amp;fiche=13596","13596")</f>
        <v>13596</v>
      </c>
      <c r="D1442" s="4" t="str">
        <f>HYPERLINK("http://www.intercariforef.org/formations/certification-76762.html","76762")</f>
        <v>76762</v>
      </c>
      <c r="E1442" s="5">
        <v>8534</v>
      </c>
      <c r="F1442" s="5" t="s">
        <v>10</v>
      </c>
      <c r="G1442" s="5" t="s">
        <v>11</v>
      </c>
      <c r="H1442" s="3" t="s">
        <v>1166</v>
      </c>
    </row>
    <row r="1443" spans="1:8" ht="27.6" x14ac:dyDescent="0.25">
      <c r="A1443" s="3" t="s">
        <v>1004</v>
      </c>
      <c r="B1443" s="3" t="s">
        <v>1817</v>
      </c>
      <c r="C1443" s="4" t="str">
        <f>HYPERLINK("http://www.rncp.cncp.gouv.fr/grand-public/visualisationFiche?format=fr&amp;fiche=19385","19385")</f>
        <v>19385</v>
      </c>
      <c r="D1443" s="4" t="str">
        <f>HYPERLINK("http://www.intercariforef.org/formations/certification-62716.html","62716")</f>
        <v>62716</v>
      </c>
      <c r="E1443" s="5">
        <v>8536</v>
      </c>
      <c r="F1443" s="5" t="s">
        <v>10</v>
      </c>
      <c r="G1443" s="5" t="s">
        <v>11</v>
      </c>
      <c r="H1443" s="3" t="s">
        <v>1818</v>
      </c>
    </row>
    <row r="1444" spans="1:8" ht="13.8" x14ac:dyDescent="0.25">
      <c r="A1444" s="3" t="s">
        <v>1004</v>
      </c>
      <c r="B1444" s="3" t="s">
        <v>1819</v>
      </c>
      <c r="C1444" s="4" t="str">
        <f>HYPERLINK("http://www.rncp.cncp.gouv.fr/grand-public/visualisationFiche?format=fr&amp;fiche=19387","19387")</f>
        <v>19387</v>
      </c>
      <c r="D1444" s="4" t="str">
        <f>HYPERLINK("http://www.intercariforef.org/formations/certification-83387.html","83387")</f>
        <v>83387</v>
      </c>
      <c r="E1444" s="5">
        <v>17516</v>
      </c>
      <c r="F1444" s="5" t="s">
        <v>10</v>
      </c>
      <c r="G1444" s="5" t="s">
        <v>11</v>
      </c>
      <c r="H1444" s="3" t="s">
        <v>675</v>
      </c>
    </row>
    <row r="1445" spans="1:8" ht="13.8" x14ac:dyDescent="0.25">
      <c r="A1445" s="3" t="s">
        <v>1004</v>
      </c>
      <c r="B1445" s="3" t="s">
        <v>1820</v>
      </c>
      <c r="C1445" s="4" t="str">
        <f>HYPERLINK("http://www.rncp.cncp.gouv.fr/grand-public/visualisationFiche?format=fr&amp;fiche=18061","18061")</f>
        <v>18061</v>
      </c>
      <c r="D1445" s="4" t="str">
        <f>HYPERLINK("http://www.intercariforef.org/formations/certification-78867.html","78867")</f>
        <v>78867</v>
      </c>
      <c r="E1445" s="5">
        <v>8541</v>
      </c>
      <c r="F1445" s="5" t="s">
        <v>10</v>
      </c>
      <c r="G1445" s="5" t="s">
        <v>11</v>
      </c>
      <c r="H1445" s="3" t="s">
        <v>600</v>
      </c>
    </row>
    <row r="1446" spans="1:8" ht="27.6" x14ac:dyDescent="0.25">
      <c r="A1446" s="3" t="s">
        <v>1004</v>
      </c>
      <c r="B1446" s="3" t="s">
        <v>1821</v>
      </c>
      <c r="C1446" s="4" t="str">
        <f>HYPERLINK("http://www.rncp.cncp.gouv.fr/grand-public/visualisationFiche?format=fr&amp;fiche=11929","11929")</f>
        <v>11929</v>
      </c>
      <c r="D1446" s="4" t="str">
        <f>HYPERLINK("http://www.intercariforef.org/formations/certification-73815.html","73815")</f>
        <v>73815</v>
      </c>
      <c r="E1446" s="5">
        <v>8544</v>
      </c>
      <c r="F1446" s="5" t="s">
        <v>10</v>
      </c>
      <c r="G1446" s="5" t="s">
        <v>11</v>
      </c>
      <c r="H1446" s="3" t="s">
        <v>1822</v>
      </c>
    </row>
    <row r="1447" spans="1:8" ht="13.8" x14ac:dyDescent="0.25">
      <c r="A1447" s="3" t="s">
        <v>1004</v>
      </c>
      <c r="B1447" s="3" t="s">
        <v>1823</v>
      </c>
      <c r="C1447" s="4" t="str">
        <f>HYPERLINK("http://www.rncp.cncp.gouv.fr/grand-public/visualisationFiche?format=fr&amp;fiche=16629","16629")</f>
        <v>16629</v>
      </c>
      <c r="D1447" s="4" t="str">
        <f>HYPERLINK("http://www.intercariforef.org/formations/certification-81120.html","81120")</f>
        <v>81120</v>
      </c>
      <c r="E1447" s="5">
        <v>8546</v>
      </c>
      <c r="F1447" s="5" t="s">
        <v>10</v>
      </c>
      <c r="G1447" s="5" t="s">
        <v>11</v>
      </c>
      <c r="H1447" s="3" t="s">
        <v>708</v>
      </c>
    </row>
    <row r="1448" spans="1:8" ht="27.6" x14ac:dyDescent="0.25">
      <c r="A1448" s="3" t="s">
        <v>1004</v>
      </c>
      <c r="B1448" s="3" t="s">
        <v>1824</v>
      </c>
      <c r="C1448" s="5"/>
      <c r="D1448" s="4" t="str">
        <f>HYPERLINK("http://www.intercariforef.org/formations/certification-74924.html","74924")</f>
        <v>74924</v>
      </c>
      <c r="E1448" s="5">
        <v>9267</v>
      </c>
      <c r="F1448" s="5" t="s">
        <v>10</v>
      </c>
      <c r="G1448" s="5" t="s">
        <v>11</v>
      </c>
      <c r="H1448" s="3" t="s">
        <v>1825</v>
      </c>
    </row>
    <row r="1449" spans="1:8" ht="13.8" x14ac:dyDescent="0.25">
      <c r="A1449" s="3" t="s">
        <v>1004</v>
      </c>
      <c r="B1449" s="3" t="s">
        <v>1826</v>
      </c>
      <c r="C1449" s="4" t="str">
        <f>HYPERLINK("http://www.rncp.cncp.gouv.fr/grand-public/visualisationFiche?format=fr&amp;fiche=9668","9668")</f>
        <v>9668</v>
      </c>
      <c r="D1449" s="4" t="str">
        <f>HYPERLINK("http://www.intercariforef.org/formations/certification-68524.html","68524")</f>
        <v>68524</v>
      </c>
      <c r="E1449" s="5">
        <v>8548</v>
      </c>
      <c r="F1449" s="5" t="s">
        <v>10</v>
      </c>
      <c r="G1449" s="5" t="s">
        <v>11</v>
      </c>
      <c r="H1449" s="3" t="s">
        <v>632</v>
      </c>
    </row>
    <row r="1450" spans="1:8" ht="13.8" x14ac:dyDescent="0.25">
      <c r="A1450" s="3" t="s">
        <v>1004</v>
      </c>
      <c r="B1450" s="3" t="s">
        <v>1827</v>
      </c>
      <c r="C1450" s="4" t="str">
        <f>HYPERLINK("http://www.rncp.cncp.gouv.fr/grand-public/visualisationFiche?format=fr&amp;fiche=23675","23675")</f>
        <v>23675</v>
      </c>
      <c r="D1450" s="4" t="str">
        <f>HYPERLINK("http://www.intercariforef.org/formations/certification-54005.html","54005")</f>
        <v>54005</v>
      </c>
      <c r="E1450" s="5">
        <v>8554</v>
      </c>
      <c r="F1450" s="5" t="s">
        <v>10</v>
      </c>
      <c r="G1450" s="5" t="s">
        <v>11</v>
      </c>
      <c r="H1450" s="3" t="s">
        <v>1770</v>
      </c>
    </row>
    <row r="1451" spans="1:8" ht="27.6" x14ac:dyDescent="0.25">
      <c r="A1451" s="3" t="s">
        <v>1004</v>
      </c>
      <c r="B1451" s="3" t="s">
        <v>1828</v>
      </c>
      <c r="C1451" s="4" t="str">
        <f>HYPERLINK("http://www.rncp.cncp.gouv.fr/grand-public/visualisationFiche?format=fr&amp;fiche=19384","19384")</f>
        <v>19384</v>
      </c>
      <c r="D1451" s="4" t="str">
        <f>HYPERLINK("http://www.intercariforef.org/formations/certification-83380.html","83380")</f>
        <v>83380</v>
      </c>
      <c r="E1451" s="5">
        <v>8558</v>
      </c>
      <c r="F1451" s="5" t="s">
        <v>10</v>
      </c>
      <c r="G1451" s="5" t="s">
        <v>11</v>
      </c>
      <c r="H1451" s="3" t="s">
        <v>1829</v>
      </c>
    </row>
    <row r="1452" spans="1:8" ht="13.8" x14ac:dyDescent="0.25">
      <c r="A1452" s="3" t="s">
        <v>1004</v>
      </c>
      <c r="B1452" s="3" t="s">
        <v>1830</v>
      </c>
      <c r="C1452" s="4" t="str">
        <f>HYPERLINK("http://www.rncp.cncp.gouv.fr/grand-public/visualisationFiche?format=fr&amp;fiche=9407","9407")</f>
        <v>9407</v>
      </c>
      <c r="D1452" s="4" t="str">
        <f>HYPERLINK("http://www.intercariforef.org/formations/certification-64655.html","64655")</f>
        <v>64655</v>
      </c>
      <c r="E1452" s="5">
        <v>9272</v>
      </c>
      <c r="F1452" s="5" t="s">
        <v>10</v>
      </c>
      <c r="G1452" s="5" t="s">
        <v>11</v>
      </c>
      <c r="H1452" s="3" t="s">
        <v>1831</v>
      </c>
    </row>
    <row r="1453" spans="1:8" ht="27.6" x14ac:dyDescent="0.25">
      <c r="A1453" s="3" t="s">
        <v>1004</v>
      </c>
      <c r="B1453" s="3" t="s">
        <v>1832</v>
      </c>
      <c r="C1453" s="4" t="str">
        <f>HYPERLINK("http://www.rncp.cncp.gouv.fr/grand-public/visualisationFiche?format=fr&amp;fiche=13379","13379")</f>
        <v>13379</v>
      </c>
      <c r="D1453" s="4" t="str">
        <f>HYPERLINK("http://www.intercariforef.org/formations/certification-76760.html","76760")</f>
        <v>76760</v>
      </c>
      <c r="E1453" s="5">
        <v>8564</v>
      </c>
      <c r="F1453" s="5" t="s">
        <v>10</v>
      </c>
      <c r="G1453" s="5" t="s">
        <v>11</v>
      </c>
      <c r="H1453" s="3" t="s">
        <v>1833</v>
      </c>
    </row>
    <row r="1454" spans="1:8" ht="13.8" x14ac:dyDescent="0.25">
      <c r="A1454" s="3" t="s">
        <v>1004</v>
      </c>
      <c r="B1454" s="3" t="s">
        <v>1832</v>
      </c>
      <c r="C1454" s="4" t="str">
        <f>HYPERLINK("http://www.rncp.cncp.gouv.fr/grand-public/visualisationFiche?format=fr&amp;fiche=2145","2145")</f>
        <v>2145</v>
      </c>
      <c r="D1454" s="4" t="str">
        <f>HYPERLINK("http://www.intercariforef.org/formations/certification-31512.html","31512")</f>
        <v>31512</v>
      </c>
      <c r="E1454" s="5">
        <v>8563</v>
      </c>
      <c r="F1454" s="5" t="s">
        <v>10</v>
      </c>
      <c r="G1454" s="5" t="s">
        <v>11</v>
      </c>
      <c r="H1454" s="3" t="s">
        <v>34</v>
      </c>
    </row>
    <row r="1455" spans="1:8" ht="27.6" x14ac:dyDescent="0.25">
      <c r="A1455" s="3" t="s">
        <v>1004</v>
      </c>
      <c r="B1455" s="3" t="s">
        <v>1834</v>
      </c>
      <c r="C1455" s="4" t="str">
        <f>HYPERLINK("http://www.rncp.cncp.gouv.fr/grand-public/visualisationFiche?format=fr&amp;fiche=19395","19395")</f>
        <v>19395</v>
      </c>
      <c r="D1455" s="4" t="str">
        <f>HYPERLINK("http://www.intercariforef.org/formations/certification-83394.html","83394")</f>
        <v>83394</v>
      </c>
      <c r="E1455" s="5">
        <v>17517</v>
      </c>
      <c r="F1455" s="5" t="s">
        <v>10</v>
      </c>
      <c r="G1455" s="5" t="s">
        <v>11</v>
      </c>
      <c r="H1455" s="3" t="s">
        <v>1835</v>
      </c>
    </row>
    <row r="1456" spans="1:8" ht="13.8" x14ac:dyDescent="0.25">
      <c r="A1456" s="3" t="s">
        <v>1004</v>
      </c>
      <c r="B1456" s="3" t="s">
        <v>1836</v>
      </c>
      <c r="C1456" s="4" t="str">
        <f>HYPERLINK("http://www.rncp.cncp.gouv.fr/grand-public/visualisationFiche?format=fr&amp;fiche=14723","14723")</f>
        <v>14723</v>
      </c>
      <c r="D1456" s="4" t="str">
        <f>HYPERLINK("http://www.intercariforef.org/formations/certification-77547.html","77547")</f>
        <v>77547</v>
      </c>
      <c r="E1456" s="5">
        <v>8568</v>
      </c>
      <c r="F1456" s="5" t="s">
        <v>10</v>
      </c>
      <c r="G1456" s="5" t="s">
        <v>11</v>
      </c>
      <c r="H1456" s="3" t="s">
        <v>1837</v>
      </c>
    </row>
    <row r="1457" spans="1:8" ht="13.8" x14ac:dyDescent="0.25">
      <c r="A1457" s="3" t="s">
        <v>1004</v>
      </c>
      <c r="B1457" s="3" t="s">
        <v>1838</v>
      </c>
      <c r="C1457" s="4" t="str">
        <f>HYPERLINK("http://www.rncp.cncp.gouv.fr/grand-public/visualisationFiche?format=fr&amp;fiche=14506","14506")</f>
        <v>14506</v>
      </c>
      <c r="D1457" s="4" t="str">
        <f>HYPERLINK("http://www.intercariforef.org/formations/certification-54377.html","54377")</f>
        <v>54377</v>
      </c>
      <c r="E1457" s="5">
        <v>9280</v>
      </c>
      <c r="F1457" s="5" t="s">
        <v>10</v>
      </c>
      <c r="G1457" s="5" t="s">
        <v>11</v>
      </c>
      <c r="H1457" s="3" t="s">
        <v>36</v>
      </c>
    </row>
    <row r="1458" spans="1:8" ht="13.8" x14ac:dyDescent="0.25">
      <c r="A1458" s="3" t="s">
        <v>1004</v>
      </c>
      <c r="B1458" s="3" t="s">
        <v>1839</v>
      </c>
      <c r="C1458" s="4" t="str">
        <f>HYPERLINK("http://www.rncp.cncp.gouv.fr/grand-public/visualisationFiche?format=fr&amp;fiche=15241","15241")</f>
        <v>15241</v>
      </c>
      <c r="D1458" s="4" t="str">
        <f>HYPERLINK("http://www.intercariforef.org/formations/certification-78991.html","78991")</f>
        <v>78991</v>
      </c>
      <c r="E1458" s="5">
        <v>9407</v>
      </c>
      <c r="F1458" s="5" t="s">
        <v>10</v>
      </c>
      <c r="G1458" s="5" t="s">
        <v>11</v>
      </c>
      <c r="H1458" s="3" t="s">
        <v>34</v>
      </c>
    </row>
    <row r="1459" spans="1:8" ht="13.8" x14ac:dyDescent="0.25">
      <c r="A1459" s="3" t="s">
        <v>1004</v>
      </c>
      <c r="B1459" s="3" t="s">
        <v>1840</v>
      </c>
      <c r="C1459" s="4" t="str">
        <f>HYPERLINK("http://www.rncp.cncp.gouv.fr/grand-public/visualisationFiche?format=fr&amp;fiche=15241","15241")</f>
        <v>15241</v>
      </c>
      <c r="D1459" s="4" t="str">
        <f>HYPERLINK("http://www.intercariforef.org/formations/certification-78985.html","78985")</f>
        <v>78985</v>
      </c>
      <c r="E1459" s="5">
        <v>9406</v>
      </c>
      <c r="F1459" s="5" t="s">
        <v>10</v>
      </c>
      <c r="G1459" s="5" t="s">
        <v>11</v>
      </c>
      <c r="H1459" s="3" t="s">
        <v>34</v>
      </c>
    </row>
    <row r="1460" spans="1:8" ht="13.8" x14ac:dyDescent="0.25">
      <c r="A1460" s="3" t="s">
        <v>1004</v>
      </c>
      <c r="B1460" s="3" t="s">
        <v>1841</v>
      </c>
      <c r="C1460" s="4" t="str">
        <f>HYPERLINK("http://www.rncp.cncp.gouv.fr/grand-public/visualisationFiche?format=fr&amp;fiche=15241","15241")</f>
        <v>15241</v>
      </c>
      <c r="D1460" s="4" t="str">
        <f>HYPERLINK("http://www.intercariforef.org/formations/certification-78993.html","78993")</f>
        <v>78993</v>
      </c>
      <c r="E1460" s="5">
        <v>9409</v>
      </c>
      <c r="F1460" s="5" t="s">
        <v>10</v>
      </c>
      <c r="G1460" s="5" t="s">
        <v>11</v>
      </c>
      <c r="H1460" s="3" t="s">
        <v>34</v>
      </c>
    </row>
    <row r="1461" spans="1:8" ht="13.8" x14ac:dyDescent="0.25">
      <c r="A1461" s="3" t="s">
        <v>1004</v>
      </c>
      <c r="B1461" s="3" t="s">
        <v>1842</v>
      </c>
      <c r="C1461" s="4" t="str">
        <f>HYPERLINK("http://www.rncp.cncp.gouv.fr/grand-public/visualisationFiche?format=fr&amp;fiche=15241","15241")</f>
        <v>15241</v>
      </c>
      <c r="D1461" s="4" t="str">
        <f>HYPERLINK("http://www.intercariforef.org/formations/certification-78992.html","78992")</f>
        <v>78992</v>
      </c>
      <c r="E1461" s="5">
        <v>9408</v>
      </c>
      <c r="F1461" s="5" t="s">
        <v>10</v>
      </c>
      <c r="G1461" s="5" t="s">
        <v>11</v>
      </c>
      <c r="H1461" s="3" t="s">
        <v>34</v>
      </c>
    </row>
    <row r="1462" spans="1:8" ht="13.8" x14ac:dyDescent="0.25">
      <c r="A1462" s="3" t="s">
        <v>1004</v>
      </c>
      <c r="B1462" s="3" t="s">
        <v>1843</v>
      </c>
      <c r="C1462" s="4" t="str">
        <f>HYPERLINK("http://www.rncp.cncp.gouv.fr/grand-public/visualisationFiche?format=fr&amp;fiche=22925","22925")</f>
        <v>22925</v>
      </c>
      <c r="D1462" s="4" t="str">
        <f>HYPERLINK("http://www.intercariforef.org/formations/certification-74851.html","74851")</f>
        <v>74851</v>
      </c>
      <c r="E1462" s="5">
        <v>8604</v>
      </c>
      <c r="F1462" s="5" t="s">
        <v>10</v>
      </c>
      <c r="G1462" s="5" t="s">
        <v>11</v>
      </c>
      <c r="H1462" s="3" t="s">
        <v>1790</v>
      </c>
    </row>
    <row r="1463" spans="1:8" ht="13.8" x14ac:dyDescent="0.25">
      <c r="A1463" s="3" t="s">
        <v>1004</v>
      </c>
      <c r="B1463" s="3" t="s">
        <v>1844</v>
      </c>
      <c r="C1463" s="4" t="str">
        <f>HYPERLINK("http://www.rncp.cncp.gouv.fr/grand-public/visualisationFiche?format=fr&amp;fiche=11931","11931")</f>
        <v>11931</v>
      </c>
      <c r="D1463" s="4" t="str">
        <f>HYPERLINK("http://www.intercariforef.org/formations/certification-53362.html","53362")</f>
        <v>53362</v>
      </c>
      <c r="E1463" s="5">
        <v>8610</v>
      </c>
      <c r="F1463" s="5" t="s">
        <v>10</v>
      </c>
      <c r="G1463" s="5" t="s">
        <v>11</v>
      </c>
      <c r="H1463" s="3" t="s">
        <v>1845</v>
      </c>
    </row>
    <row r="1464" spans="1:8" ht="13.8" x14ac:dyDescent="0.25">
      <c r="A1464" s="3" t="s">
        <v>1004</v>
      </c>
      <c r="B1464" s="3" t="s">
        <v>1846</v>
      </c>
      <c r="C1464" s="4" t="str">
        <f>HYPERLINK("http://www.rncp.cncp.gouv.fr/grand-public/visualisationFiche?format=fr&amp;fiche=18029","18029")</f>
        <v>18029</v>
      </c>
      <c r="D1464" s="4" t="str">
        <f>HYPERLINK("http://www.intercariforef.org/formations/certification-77557.html","77557")</f>
        <v>77557</v>
      </c>
      <c r="E1464" s="5">
        <v>8612</v>
      </c>
      <c r="F1464" s="5" t="s">
        <v>10</v>
      </c>
      <c r="G1464" s="5" t="s">
        <v>11</v>
      </c>
      <c r="H1464" s="3" t="s">
        <v>116</v>
      </c>
    </row>
    <row r="1465" spans="1:8" ht="13.8" x14ac:dyDescent="0.25">
      <c r="A1465" s="3" t="s">
        <v>1004</v>
      </c>
      <c r="B1465" s="3" t="s">
        <v>1847</v>
      </c>
      <c r="C1465" s="4" t="str">
        <f>HYPERLINK("http://www.rncp.cncp.gouv.fr/grand-public/visualisationFiche?format=fr&amp;fiche=14627","14627")</f>
        <v>14627</v>
      </c>
      <c r="D1465" s="4" t="str">
        <f>HYPERLINK("http://www.intercariforef.org/formations/certification-77556.html","77556")</f>
        <v>77556</v>
      </c>
      <c r="E1465" s="5">
        <v>8613</v>
      </c>
      <c r="F1465" s="5" t="s">
        <v>10</v>
      </c>
      <c r="G1465" s="5" t="s">
        <v>11</v>
      </c>
      <c r="H1465" s="3" t="s">
        <v>622</v>
      </c>
    </row>
    <row r="1466" spans="1:8" ht="13.8" x14ac:dyDescent="0.25">
      <c r="A1466" s="3" t="s">
        <v>1004</v>
      </c>
      <c r="B1466" s="3" t="s">
        <v>1848</v>
      </c>
      <c r="C1466" s="4" t="str">
        <f>HYPERLINK("http://www.rncp.cncp.gouv.fr/grand-public/visualisationFiche?format=fr&amp;fiche=23869","23869")</f>
        <v>23869</v>
      </c>
      <c r="D1466" s="4" t="str">
        <f>HYPERLINK("http://www.intercariforef.org/formations/certification-74855.html","74855")</f>
        <v>74855</v>
      </c>
      <c r="E1466" s="5">
        <v>8615</v>
      </c>
      <c r="F1466" s="5" t="s">
        <v>10</v>
      </c>
      <c r="G1466" s="5" t="s">
        <v>11</v>
      </c>
      <c r="H1466" s="3" t="s">
        <v>1849</v>
      </c>
    </row>
    <row r="1467" spans="1:8" ht="27.6" x14ac:dyDescent="0.25">
      <c r="A1467" s="3" t="s">
        <v>1004</v>
      </c>
      <c r="B1467" s="3" t="s">
        <v>1850</v>
      </c>
      <c r="C1467" s="4" t="str">
        <f>HYPERLINK("http://www.rncp.cncp.gouv.fr/grand-public/visualisationFiche?format=fr&amp;fiche=11652","11652")</f>
        <v>11652</v>
      </c>
      <c r="D1467" s="4" t="str">
        <f>HYPERLINK("http://www.intercariforef.org/formations/certification-72771.html","72771")</f>
        <v>72771</v>
      </c>
      <c r="E1467" s="5">
        <v>17518</v>
      </c>
      <c r="F1467" s="5" t="s">
        <v>10</v>
      </c>
      <c r="G1467" s="5" t="s">
        <v>11</v>
      </c>
      <c r="H1467" s="3" t="s">
        <v>1851</v>
      </c>
    </row>
    <row r="1468" spans="1:8" ht="13.8" x14ac:dyDescent="0.25">
      <c r="A1468" s="3" t="s">
        <v>1004</v>
      </c>
      <c r="B1468" s="3" t="s">
        <v>1852</v>
      </c>
      <c r="C1468" s="4" t="str">
        <f>HYPERLINK("http://www.rncp.cncp.gouv.fr/grand-public/visualisationFiche?format=fr&amp;fiche=13006","13006")</f>
        <v>13006</v>
      </c>
      <c r="D1468" s="4" t="str">
        <f>HYPERLINK("http://www.intercariforef.org/formations/certification-76234.html","76234")</f>
        <v>76234</v>
      </c>
      <c r="E1468" s="5">
        <v>8622</v>
      </c>
      <c r="F1468" s="5" t="s">
        <v>10</v>
      </c>
      <c r="G1468" s="5" t="s">
        <v>11</v>
      </c>
      <c r="H1468" s="3" t="s">
        <v>36</v>
      </c>
    </row>
    <row r="1469" spans="1:8" ht="13.8" x14ac:dyDescent="0.25">
      <c r="A1469" s="3" t="s">
        <v>1004</v>
      </c>
      <c r="B1469" s="3" t="s">
        <v>1853</v>
      </c>
      <c r="C1469" s="4" t="str">
        <f>HYPERLINK("http://www.rncp.cncp.gouv.fr/grand-public/visualisationFiche?format=fr&amp;fiche=23939","23939")</f>
        <v>23939</v>
      </c>
      <c r="D1469" s="4" t="str">
        <f>HYPERLINK("http://www.intercariforef.org/formations/certification-55405.html","55405")</f>
        <v>55405</v>
      </c>
      <c r="E1469" s="5">
        <v>8625</v>
      </c>
      <c r="F1469" s="5" t="s">
        <v>10</v>
      </c>
      <c r="G1469" s="5" t="s">
        <v>11</v>
      </c>
      <c r="H1469" s="3" t="s">
        <v>1854</v>
      </c>
    </row>
    <row r="1470" spans="1:8" ht="13.8" x14ac:dyDescent="0.25">
      <c r="A1470" s="3" t="s">
        <v>1004</v>
      </c>
      <c r="B1470" s="3" t="s">
        <v>1855</v>
      </c>
      <c r="C1470" s="4" t="str">
        <f>HYPERLINK("http://www.rncp.cncp.gouv.fr/grand-public/visualisationFiche?format=fr&amp;fiche=15571","15571")</f>
        <v>15571</v>
      </c>
      <c r="D1470" s="4" t="str">
        <f>HYPERLINK("http://www.intercariforef.org/formations/certification-78859.html","78859")</f>
        <v>78859</v>
      </c>
      <c r="E1470" s="5">
        <v>8626</v>
      </c>
      <c r="F1470" s="5" t="s">
        <v>10</v>
      </c>
      <c r="G1470" s="5" t="s">
        <v>11</v>
      </c>
      <c r="H1470" s="3" t="s">
        <v>1856</v>
      </c>
    </row>
    <row r="1471" spans="1:8" ht="27.6" x14ac:dyDescent="0.25">
      <c r="A1471" s="3" t="s">
        <v>1004</v>
      </c>
      <c r="B1471" s="3" t="s">
        <v>1857</v>
      </c>
      <c r="C1471" s="4" t="str">
        <f>HYPERLINK("http://www.rncp.cncp.gouv.fr/grand-public/visualisationFiche?format=fr&amp;fiche=18000","18000")</f>
        <v>18000</v>
      </c>
      <c r="D1471" s="4" t="str">
        <f>HYPERLINK("http://www.intercariforef.org/formations/certification-81119.html","81119")</f>
        <v>81119</v>
      </c>
      <c r="E1471" s="5">
        <v>8628</v>
      </c>
      <c r="F1471" s="5" t="s">
        <v>10</v>
      </c>
      <c r="G1471" s="5" t="s">
        <v>11</v>
      </c>
      <c r="H1471" s="3" t="s">
        <v>669</v>
      </c>
    </row>
    <row r="1472" spans="1:8" ht="27.6" x14ac:dyDescent="0.25">
      <c r="A1472" s="3" t="s">
        <v>1004</v>
      </c>
      <c r="B1472" s="3" t="s">
        <v>1858</v>
      </c>
      <c r="C1472" s="4" t="str">
        <f>HYPERLINK("http://www.rncp.cncp.gouv.fr/grand-public/visualisationFiche?format=fr&amp;fiche=12376","12376")</f>
        <v>12376</v>
      </c>
      <c r="D1472" s="4" t="str">
        <f>HYPERLINK("http://www.intercariforef.org/formations/certification-74848.html","74848")</f>
        <v>74848</v>
      </c>
      <c r="E1472" s="5">
        <v>8659</v>
      </c>
      <c r="F1472" s="5" t="s">
        <v>10</v>
      </c>
      <c r="G1472" s="5" t="s">
        <v>11</v>
      </c>
      <c r="H1472" s="3" t="s">
        <v>589</v>
      </c>
    </row>
    <row r="1473" spans="1:8" ht="13.8" x14ac:dyDescent="0.25">
      <c r="A1473" s="3" t="s">
        <v>1004</v>
      </c>
      <c r="B1473" s="3" t="s">
        <v>1859</v>
      </c>
      <c r="C1473" s="4" t="str">
        <f>HYPERLINK("http://www.rncp.cncp.gouv.fr/grand-public/visualisationFiche?format=fr&amp;fiche=17235","17235")</f>
        <v>17235</v>
      </c>
      <c r="D1473" s="4" t="str">
        <f>HYPERLINK("http://www.intercariforef.org/formations/certification-81560.html","81560")</f>
        <v>81560</v>
      </c>
      <c r="E1473" s="5">
        <v>8662</v>
      </c>
      <c r="F1473" s="5" t="s">
        <v>10</v>
      </c>
      <c r="G1473" s="5" t="s">
        <v>11</v>
      </c>
      <c r="H1473" s="3" t="s">
        <v>1860</v>
      </c>
    </row>
    <row r="1474" spans="1:8" ht="13.8" x14ac:dyDescent="0.25">
      <c r="A1474" s="3" t="s">
        <v>1004</v>
      </c>
      <c r="B1474" s="3" t="s">
        <v>1861</v>
      </c>
      <c r="C1474" s="4" t="str">
        <f>HYPERLINK("http://www.rncp.cncp.gouv.fr/grand-public/visualisationFiche?format=fr&amp;fiche=11928","11928")</f>
        <v>11928</v>
      </c>
      <c r="D1474" s="4" t="str">
        <f>HYPERLINK("http://www.intercariforef.org/formations/certification-73820.html","73820")</f>
        <v>73820</v>
      </c>
      <c r="E1474" s="5">
        <v>8663</v>
      </c>
      <c r="F1474" s="5" t="s">
        <v>10</v>
      </c>
      <c r="G1474" s="5" t="s">
        <v>11</v>
      </c>
      <c r="H1474" s="3" t="s">
        <v>34</v>
      </c>
    </row>
    <row r="1475" spans="1:8" ht="13.8" x14ac:dyDescent="0.25">
      <c r="A1475" s="3" t="s">
        <v>1004</v>
      </c>
      <c r="B1475" s="3" t="s">
        <v>1862</v>
      </c>
      <c r="C1475" s="4" t="str">
        <f>HYPERLINK("http://www.rncp.cncp.gouv.fr/grand-public/visualisationFiche?format=fr&amp;fiche=17824","17824")</f>
        <v>17824</v>
      </c>
      <c r="D1475" s="4" t="str">
        <f>HYPERLINK("http://www.intercariforef.org/formations/certification-82302.html","82302")</f>
        <v>82302</v>
      </c>
      <c r="E1475" s="5">
        <v>17519</v>
      </c>
      <c r="F1475" s="5" t="s">
        <v>10</v>
      </c>
      <c r="G1475" s="5" t="s">
        <v>11</v>
      </c>
      <c r="H1475" s="3" t="s">
        <v>73</v>
      </c>
    </row>
    <row r="1476" spans="1:8" ht="13.8" x14ac:dyDescent="0.25">
      <c r="A1476" s="3" t="s">
        <v>1004</v>
      </c>
      <c r="B1476" s="3" t="s">
        <v>1863</v>
      </c>
      <c r="C1476" s="4" t="str">
        <f>HYPERLINK("http://www.rncp.cncp.gouv.fr/grand-public/visualisationFiche?format=fr&amp;fiche=13663","13663")</f>
        <v>13663</v>
      </c>
      <c r="D1476" s="4" t="str">
        <f>HYPERLINK("http://www.intercariforef.org/formations/certification-76996.html","76996")</f>
        <v>76996</v>
      </c>
      <c r="E1476" s="5">
        <v>8665</v>
      </c>
      <c r="F1476" s="5" t="s">
        <v>10</v>
      </c>
      <c r="G1476" s="5" t="s">
        <v>11</v>
      </c>
      <c r="H1476" s="3" t="s">
        <v>1864</v>
      </c>
    </row>
    <row r="1477" spans="1:8" ht="27.6" x14ac:dyDescent="0.25">
      <c r="A1477" s="3" t="s">
        <v>1004</v>
      </c>
      <c r="B1477" s="3" t="s">
        <v>1865</v>
      </c>
      <c r="C1477" s="4" t="str">
        <f>HYPERLINK("http://www.rncp.cncp.gouv.fr/grand-public/visualisationFiche?format=fr&amp;fiche=18088","18088")</f>
        <v>18088</v>
      </c>
      <c r="D1477" s="4" t="str">
        <f>HYPERLINK("http://www.intercariforef.org/formations/certification-59398.html","59398")</f>
        <v>59398</v>
      </c>
      <c r="E1477" s="5">
        <v>8666</v>
      </c>
      <c r="F1477" s="5" t="s">
        <v>10</v>
      </c>
      <c r="G1477" s="5" t="s">
        <v>11</v>
      </c>
      <c r="H1477" s="3" t="s">
        <v>1866</v>
      </c>
    </row>
    <row r="1478" spans="1:8" ht="13.8" x14ac:dyDescent="0.25">
      <c r="A1478" s="3" t="s">
        <v>1004</v>
      </c>
      <c r="B1478" s="3" t="s">
        <v>1867</v>
      </c>
      <c r="C1478" s="4" t="str">
        <f>HYPERLINK("http://www.rncp.cncp.gouv.fr/grand-public/visualisationFiche?format=fr&amp;fiche=1458","1458")</f>
        <v>1458</v>
      </c>
      <c r="D1478" s="4" t="str">
        <f>HYPERLINK("http://www.intercariforef.org/formations/certification-48908.html","48908")</f>
        <v>48908</v>
      </c>
      <c r="E1478" s="5">
        <v>9418</v>
      </c>
      <c r="F1478" s="5" t="s">
        <v>10</v>
      </c>
      <c r="G1478" s="5" t="s">
        <v>11</v>
      </c>
      <c r="H1478" s="3" t="s">
        <v>1868</v>
      </c>
    </row>
    <row r="1479" spans="1:8" ht="13.8" x14ac:dyDescent="0.25">
      <c r="A1479" s="3" t="s">
        <v>1004</v>
      </c>
      <c r="B1479" s="3" t="s">
        <v>1869</v>
      </c>
      <c r="C1479" s="4" t="str">
        <f>HYPERLINK("http://www.rncp.cncp.gouv.fr/grand-public/visualisationFiche?format=fr&amp;fiche=16325","16325")</f>
        <v>16325</v>
      </c>
      <c r="D1479" s="4" t="str">
        <f>HYPERLINK("http://www.intercariforef.org/formations/certification-80523.html","80523")</f>
        <v>80523</v>
      </c>
      <c r="E1479" s="5">
        <v>8668</v>
      </c>
      <c r="F1479" s="5" t="s">
        <v>10</v>
      </c>
      <c r="G1479" s="5" t="s">
        <v>11</v>
      </c>
      <c r="H1479" s="3" t="s">
        <v>36</v>
      </c>
    </row>
    <row r="1480" spans="1:8" ht="13.8" x14ac:dyDescent="0.25">
      <c r="A1480" s="3" t="s">
        <v>1004</v>
      </c>
      <c r="B1480" s="3" t="s">
        <v>1870</v>
      </c>
      <c r="C1480" s="4" t="str">
        <f>HYPERLINK("http://www.rncp.cncp.gouv.fr/grand-public/visualisationFiche?format=fr&amp;fiche=19436","19436")</f>
        <v>19436</v>
      </c>
      <c r="D1480" s="4" t="str">
        <f>HYPERLINK("http://www.intercariforef.org/formations/certification-65634.html","65634")</f>
        <v>65634</v>
      </c>
      <c r="E1480" s="5">
        <v>8667</v>
      </c>
      <c r="F1480" s="5" t="s">
        <v>10</v>
      </c>
      <c r="G1480" s="5" t="s">
        <v>11</v>
      </c>
      <c r="H1480" s="3" t="s">
        <v>1871</v>
      </c>
    </row>
    <row r="1481" spans="1:8" ht="13.8" x14ac:dyDescent="0.25">
      <c r="A1481" s="3" t="s">
        <v>1004</v>
      </c>
      <c r="B1481" s="3" t="s">
        <v>1872</v>
      </c>
      <c r="C1481" s="4" t="str">
        <f>HYPERLINK("http://www.rncp.cncp.gouv.fr/grand-public/visualisationFiche?format=fr&amp;fiche=1620","1620")</f>
        <v>1620</v>
      </c>
      <c r="D1481" s="4" t="str">
        <f>HYPERLINK("http://www.intercariforef.org/formations/certification-31545.html","31545")</f>
        <v>31545</v>
      </c>
      <c r="E1481" s="5">
        <v>9428</v>
      </c>
      <c r="F1481" s="5" t="s">
        <v>10</v>
      </c>
      <c r="G1481" s="5" t="s">
        <v>11</v>
      </c>
      <c r="H1481" s="3" t="s">
        <v>1873</v>
      </c>
    </row>
    <row r="1482" spans="1:8" ht="13.8" x14ac:dyDescent="0.25">
      <c r="A1482" s="3" t="s">
        <v>1004</v>
      </c>
      <c r="B1482" s="3" t="s">
        <v>1874</v>
      </c>
      <c r="C1482" s="4" t="str">
        <f>HYPERLINK("http://www.rncp.cncp.gouv.fr/grand-public/visualisationFiche?format=fr&amp;fiche=17821","17821")</f>
        <v>17821</v>
      </c>
      <c r="D1482" s="4" t="str">
        <f>HYPERLINK("http://www.intercariforef.org/formations/certification-82292.html","82292")</f>
        <v>82292</v>
      </c>
      <c r="E1482" s="5">
        <v>8669</v>
      </c>
      <c r="F1482" s="5" t="s">
        <v>10</v>
      </c>
      <c r="G1482" s="5" t="s">
        <v>11</v>
      </c>
      <c r="H1482" s="3" t="s">
        <v>1875</v>
      </c>
    </row>
    <row r="1483" spans="1:8" ht="27.6" x14ac:dyDescent="0.25">
      <c r="A1483" s="3" t="s">
        <v>1004</v>
      </c>
      <c r="B1483" s="3" t="s">
        <v>1876</v>
      </c>
      <c r="C1483" s="4" t="str">
        <f>HYPERLINK("http://www.rncp.cncp.gouv.fr/grand-public/visualisationFiche?format=fr&amp;fiche=16630","16630")</f>
        <v>16630</v>
      </c>
      <c r="D1483" s="4" t="str">
        <f>HYPERLINK("http://www.intercariforef.org/formations/certification-81121.html","81121")</f>
        <v>81121</v>
      </c>
      <c r="E1483" s="5">
        <v>8671</v>
      </c>
      <c r="F1483" s="5" t="s">
        <v>10</v>
      </c>
      <c r="G1483" s="5" t="s">
        <v>11</v>
      </c>
      <c r="H1483" s="3" t="s">
        <v>1877</v>
      </c>
    </row>
    <row r="1484" spans="1:8" ht="13.8" x14ac:dyDescent="0.25">
      <c r="A1484" s="3" t="s">
        <v>1004</v>
      </c>
      <c r="B1484" s="3" t="s">
        <v>1876</v>
      </c>
      <c r="C1484" s="4" t="str">
        <f>HYPERLINK("http://www.rncp.cncp.gouv.fr/grand-public/visualisationFiche?format=fr&amp;fiche=4649","4649")</f>
        <v>4649</v>
      </c>
      <c r="D1484" s="4" t="str">
        <f>HYPERLINK("http://www.intercariforef.org/formations/certification-52900.html","52900")</f>
        <v>52900</v>
      </c>
      <c r="E1484" s="5">
        <v>8672</v>
      </c>
      <c r="F1484" s="5" t="s">
        <v>10</v>
      </c>
      <c r="G1484" s="5" t="s">
        <v>11</v>
      </c>
      <c r="H1484" s="3" t="s">
        <v>34</v>
      </c>
    </row>
    <row r="1485" spans="1:8" ht="13.8" x14ac:dyDescent="0.25">
      <c r="A1485" s="3" t="s">
        <v>1004</v>
      </c>
      <c r="B1485" s="3" t="s">
        <v>1878</v>
      </c>
      <c r="C1485" s="4" t="str">
        <f>HYPERLINK("http://www.rncp.cncp.gouv.fr/grand-public/visualisationFiche?format=fr&amp;fiche=16889","16889")</f>
        <v>16889</v>
      </c>
      <c r="D1485" s="4" t="str">
        <f>HYPERLINK("http://www.intercariforef.org/formations/certification-81348.html","81348")</f>
        <v>81348</v>
      </c>
      <c r="E1485" s="5">
        <v>8670</v>
      </c>
      <c r="F1485" s="5" t="s">
        <v>10</v>
      </c>
      <c r="G1485" s="5" t="s">
        <v>11</v>
      </c>
      <c r="H1485" s="3" t="s">
        <v>36</v>
      </c>
    </row>
    <row r="1486" spans="1:8" ht="13.8" x14ac:dyDescent="0.25">
      <c r="A1486" s="3" t="s">
        <v>1004</v>
      </c>
      <c r="B1486" s="3" t="s">
        <v>1879</v>
      </c>
      <c r="C1486" s="4" t="str">
        <f>HYPERLINK("http://www.rncp.cncp.gouv.fr/grand-public/visualisationFiche?format=fr&amp;fiche=16881","16881")</f>
        <v>16881</v>
      </c>
      <c r="D1486" s="4" t="str">
        <f>HYPERLINK("http://www.intercariforef.org/formations/certification-81341.html","81341")</f>
        <v>81341</v>
      </c>
      <c r="E1486" s="5">
        <v>8673</v>
      </c>
      <c r="F1486" s="5" t="s">
        <v>10</v>
      </c>
      <c r="G1486" s="5" t="s">
        <v>11</v>
      </c>
      <c r="H1486" s="3" t="s">
        <v>1066</v>
      </c>
    </row>
    <row r="1487" spans="1:8" ht="13.8" x14ac:dyDescent="0.25">
      <c r="A1487" s="3" t="s">
        <v>1004</v>
      </c>
      <c r="B1487" s="3" t="s">
        <v>1880</v>
      </c>
      <c r="C1487" s="4" t="str">
        <f>HYPERLINK("http://www.rncp.cncp.gouv.fr/grand-public/visualisationFiche?format=fr&amp;fiche=22981","22981")</f>
        <v>22981</v>
      </c>
      <c r="D1487" s="4" t="str">
        <f>HYPERLINK("http://www.intercariforef.org/formations/certification-64259.html","64259")</f>
        <v>64259</v>
      </c>
      <c r="E1487" s="5">
        <v>150805</v>
      </c>
      <c r="F1487" s="5" t="s">
        <v>10</v>
      </c>
      <c r="G1487" s="5" t="s">
        <v>11</v>
      </c>
      <c r="H1487" s="3" t="s">
        <v>1881</v>
      </c>
    </row>
    <row r="1488" spans="1:8" ht="13.8" x14ac:dyDescent="0.25">
      <c r="A1488" s="3" t="s">
        <v>1004</v>
      </c>
      <c r="B1488" s="3" t="s">
        <v>1882</v>
      </c>
      <c r="C1488" s="4" t="str">
        <f>HYPERLINK("http://www.rncp.cncp.gouv.fr/grand-public/visualisationFiche?format=fr&amp;fiche=15246","15246")</f>
        <v>15246</v>
      </c>
      <c r="D1488" s="4" t="str">
        <f>HYPERLINK("http://www.intercariforef.org/formations/certification-79004.html","79004")</f>
        <v>79004</v>
      </c>
      <c r="E1488" s="5">
        <v>145177</v>
      </c>
      <c r="F1488" s="5" t="s">
        <v>10</v>
      </c>
      <c r="G1488" s="5" t="s">
        <v>11</v>
      </c>
      <c r="H1488" s="3" t="s">
        <v>1099</v>
      </c>
    </row>
    <row r="1489" spans="1:8" ht="13.8" x14ac:dyDescent="0.25">
      <c r="A1489" s="3" t="s">
        <v>1004</v>
      </c>
      <c r="B1489" s="3" t="s">
        <v>1883</v>
      </c>
      <c r="C1489" s="4" t="str">
        <f>HYPERLINK("http://www.rncp.cncp.gouv.fr/grand-public/visualisationFiche?format=fr&amp;fiche=6015","6015")</f>
        <v>6015</v>
      </c>
      <c r="D1489" s="4" t="str">
        <f>HYPERLINK("http://www.intercariforef.org/formations/certification-59400.html","59400")</f>
        <v>59400</v>
      </c>
      <c r="E1489" s="5">
        <v>8674</v>
      </c>
      <c r="F1489" s="5" t="s">
        <v>10</v>
      </c>
      <c r="G1489" s="5" t="s">
        <v>11</v>
      </c>
      <c r="H1489" s="3" t="s">
        <v>1884</v>
      </c>
    </row>
    <row r="1490" spans="1:8" ht="13.8" x14ac:dyDescent="0.25">
      <c r="A1490" s="3" t="s">
        <v>1004</v>
      </c>
      <c r="B1490" s="3" t="s">
        <v>1885</v>
      </c>
      <c r="C1490" s="4" t="str">
        <f>HYPERLINK("http://www.rncp.cncp.gouv.fr/grand-public/visualisationFiche?format=fr&amp;fiche=9518","9518")</f>
        <v>9518</v>
      </c>
      <c r="D1490" s="4" t="str">
        <f>HYPERLINK("http://www.intercariforef.org/formations/certification-68523.html","68523")</f>
        <v>68523</v>
      </c>
      <c r="E1490" s="5">
        <v>131754</v>
      </c>
      <c r="F1490" s="5" t="s">
        <v>10</v>
      </c>
      <c r="G1490" s="5" t="s">
        <v>11</v>
      </c>
      <c r="H1490" s="3" t="s">
        <v>1886</v>
      </c>
    </row>
    <row r="1491" spans="1:8" ht="13.8" x14ac:dyDescent="0.25">
      <c r="A1491" s="3" t="s">
        <v>1004</v>
      </c>
      <c r="B1491" s="3" t="s">
        <v>1887</v>
      </c>
      <c r="C1491" s="4" t="str">
        <f>HYPERLINK("http://www.rncp.cncp.gouv.fr/grand-public/visualisationFiche?format=fr&amp;fiche=15620","15620")</f>
        <v>15620</v>
      </c>
      <c r="D1491" s="4" t="str">
        <f>HYPERLINK("http://www.intercariforef.org/formations/certification-54494.html","54494")</f>
        <v>54494</v>
      </c>
      <c r="E1491" s="5">
        <v>9446</v>
      </c>
      <c r="F1491" s="5" t="s">
        <v>10</v>
      </c>
      <c r="G1491" s="5" t="s">
        <v>11</v>
      </c>
      <c r="H1491" s="3" t="s">
        <v>485</v>
      </c>
    </row>
    <row r="1492" spans="1:8" ht="27.6" x14ac:dyDescent="0.25">
      <c r="A1492" s="3" t="s">
        <v>1004</v>
      </c>
      <c r="B1492" s="3" t="s">
        <v>1888</v>
      </c>
      <c r="C1492" s="4" t="str">
        <f>HYPERLINK("http://www.rncp.cncp.gouv.fr/grand-public/visualisationFiche?format=fr&amp;fiche=6255","6255")</f>
        <v>6255</v>
      </c>
      <c r="D1492" s="4" t="str">
        <f>HYPERLINK("http://www.intercariforef.org/formations/certification-80737.html","80737")</f>
        <v>80737</v>
      </c>
      <c r="E1492" s="5">
        <v>9456</v>
      </c>
      <c r="F1492" s="5" t="s">
        <v>10</v>
      </c>
      <c r="G1492" s="5" t="s">
        <v>11</v>
      </c>
      <c r="H1492" s="3" t="s">
        <v>1889</v>
      </c>
    </row>
    <row r="1493" spans="1:8" ht="13.8" x14ac:dyDescent="0.25">
      <c r="A1493" s="3" t="s">
        <v>1890</v>
      </c>
      <c r="B1493" s="3" t="s">
        <v>1891</v>
      </c>
      <c r="C1493" s="4" t="str">
        <f>HYPERLINK("http://www.rncp.cncp.gouv.fr/grand-public/visualisationFiche?format=fr&amp;fiche=23938","23938")</f>
        <v>23938</v>
      </c>
      <c r="D1493" s="4" t="str">
        <f>HYPERLINK("http://www.intercariforef.org/formations/certification-77604.html","77604")</f>
        <v>77604</v>
      </c>
      <c r="E1493" s="5">
        <v>2516</v>
      </c>
      <c r="F1493" s="5" t="s">
        <v>10</v>
      </c>
      <c r="G1493" s="5" t="s">
        <v>11</v>
      </c>
      <c r="H1493" s="3" t="s">
        <v>1074</v>
      </c>
    </row>
    <row r="1494" spans="1:8" ht="13.8" x14ac:dyDescent="0.25">
      <c r="A1494" s="3" t="s">
        <v>1890</v>
      </c>
      <c r="B1494" s="3" t="s">
        <v>1892</v>
      </c>
      <c r="C1494" s="4" t="str">
        <f>HYPERLINK("http://www.rncp.cncp.gouv.fr/grand-public/visualisationFiche?format=fr&amp;fiche=13659","13659")</f>
        <v>13659</v>
      </c>
      <c r="D1494" s="4" t="str">
        <f>HYPERLINK("http://www.intercariforef.org/formations/certification-30981.html","30981")</f>
        <v>30981</v>
      </c>
      <c r="E1494" s="5">
        <v>2517</v>
      </c>
      <c r="F1494" s="5" t="s">
        <v>10</v>
      </c>
      <c r="G1494" s="5" t="s">
        <v>11</v>
      </c>
      <c r="H1494" s="3" t="s">
        <v>36</v>
      </c>
    </row>
    <row r="1495" spans="1:8" ht="13.8" x14ac:dyDescent="0.25">
      <c r="A1495" s="3" t="s">
        <v>1890</v>
      </c>
      <c r="B1495" s="3" t="s">
        <v>1893</v>
      </c>
      <c r="C1495" s="4" t="str">
        <f>HYPERLINK("http://www.rncp.cncp.gouv.fr/grand-public/visualisationFiche?format=fr&amp;fiche=19357","19357")</f>
        <v>19357</v>
      </c>
      <c r="D1495" s="4" t="str">
        <f>HYPERLINK("http://www.intercariforef.org/formations/certification-83349.html","83349")</f>
        <v>83349</v>
      </c>
      <c r="E1495" s="5">
        <v>2193</v>
      </c>
      <c r="F1495" s="5" t="s">
        <v>10</v>
      </c>
      <c r="G1495" s="5" t="s">
        <v>11</v>
      </c>
      <c r="H1495" s="3" t="s">
        <v>1894</v>
      </c>
    </row>
    <row r="1496" spans="1:8" ht="13.8" x14ac:dyDescent="0.25">
      <c r="A1496" s="3" t="s">
        <v>1890</v>
      </c>
      <c r="B1496" s="3" t="s">
        <v>1895</v>
      </c>
      <c r="C1496" s="4" t="str">
        <f>HYPERLINK("http://www.rncp.cncp.gouv.fr/grand-public/visualisationFiche?format=fr&amp;fiche=22935","22935")</f>
        <v>22935</v>
      </c>
      <c r="D1496" s="4" t="str">
        <f>HYPERLINK("http://www.intercariforef.org/formations/certification-63684.html","63684")</f>
        <v>63684</v>
      </c>
      <c r="E1496" s="5">
        <v>142773</v>
      </c>
      <c r="F1496" s="5" t="s">
        <v>10</v>
      </c>
      <c r="G1496" s="5" t="s">
        <v>11</v>
      </c>
      <c r="H1496" s="3" t="s">
        <v>1896</v>
      </c>
    </row>
    <row r="1497" spans="1:8" ht="13.8" x14ac:dyDescent="0.25">
      <c r="A1497" s="3" t="s">
        <v>1890</v>
      </c>
      <c r="B1497" s="3" t="s">
        <v>1897</v>
      </c>
      <c r="C1497" s="4" t="str">
        <f>HYPERLINK("http://www.rncp.cncp.gouv.fr/grand-public/visualisationFiche?format=fr&amp;fiche=5725","5725")</f>
        <v>5725</v>
      </c>
      <c r="D1497" s="4" t="str">
        <f>HYPERLINK("http://www.intercariforef.org/formations/certification-58064.html","58064")</f>
        <v>58064</v>
      </c>
      <c r="E1497" s="5">
        <v>142774</v>
      </c>
      <c r="F1497" s="5" t="s">
        <v>10</v>
      </c>
      <c r="G1497" s="5" t="s">
        <v>11</v>
      </c>
      <c r="H1497" s="3" t="s">
        <v>1898</v>
      </c>
    </row>
    <row r="1498" spans="1:8" ht="13.8" x14ac:dyDescent="0.25">
      <c r="A1498" s="3" t="s">
        <v>1890</v>
      </c>
      <c r="B1498" s="3" t="s">
        <v>1899</v>
      </c>
      <c r="C1498" s="4" t="str">
        <f>HYPERLINK("http://www.rncp.cncp.gouv.fr/grand-public/visualisationFiche?format=fr&amp;fiche=12816","12816")</f>
        <v>12816</v>
      </c>
      <c r="D1498" s="4" t="str">
        <f>HYPERLINK("http://www.intercariforef.org/formations/certification-75972.html","75972")</f>
        <v>75972</v>
      </c>
      <c r="E1498" s="5">
        <v>142775</v>
      </c>
      <c r="F1498" s="5" t="s">
        <v>10</v>
      </c>
      <c r="G1498" s="5" t="s">
        <v>11</v>
      </c>
      <c r="H1498" s="3" t="s">
        <v>1900</v>
      </c>
    </row>
    <row r="1499" spans="1:8" ht="13.8" x14ac:dyDescent="0.25">
      <c r="A1499" s="3" t="s">
        <v>1890</v>
      </c>
      <c r="B1499" s="3" t="s">
        <v>1901</v>
      </c>
      <c r="C1499" s="4" t="str">
        <f>HYPERLINK("http://www.rncp.cncp.gouv.fr/grand-public/visualisationFiche?format=fr&amp;fiche=1765","1765")</f>
        <v>1765</v>
      </c>
      <c r="D1499" s="4" t="str">
        <f>HYPERLINK("http://www.intercariforef.org/formations/certification-69929.html","69929")</f>
        <v>69929</v>
      </c>
      <c r="E1499" s="5">
        <v>142776</v>
      </c>
      <c r="F1499" s="5" t="s">
        <v>10</v>
      </c>
      <c r="G1499" s="5" t="s">
        <v>11</v>
      </c>
      <c r="H1499" s="3" t="s">
        <v>1902</v>
      </c>
    </row>
    <row r="1500" spans="1:8" ht="13.8" x14ac:dyDescent="0.25">
      <c r="A1500" s="3" t="s">
        <v>1890</v>
      </c>
      <c r="B1500" s="3" t="s">
        <v>1903</v>
      </c>
      <c r="C1500" s="4" t="str">
        <f>HYPERLINK("http://www.rncp.cncp.gouv.fr/grand-public/visualisationFiche?format=fr&amp;fiche=4829","4829")</f>
        <v>4829</v>
      </c>
      <c r="D1500" s="4" t="str">
        <f>HYPERLINK("http://www.intercariforef.org/formations/certification-53272.html","53272")</f>
        <v>53272</v>
      </c>
      <c r="E1500" s="5">
        <v>2196</v>
      </c>
      <c r="F1500" s="5" t="s">
        <v>10</v>
      </c>
      <c r="G1500" s="5" t="s">
        <v>11</v>
      </c>
      <c r="H1500" s="3" t="s">
        <v>34</v>
      </c>
    </row>
    <row r="1501" spans="1:8" ht="13.8" x14ac:dyDescent="0.25">
      <c r="A1501" s="3" t="s">
        <v>1890</v>
      </c>
      <c r="B1501" s="3" t="s">
        <v>1904</v>
      </c>
      <c r="C1501" s="4" t="str">
        <f>HYPERLINK("http://www.rncp.cncp.gouv.fr/grand-public/visualisationFiche?format=fr&amp;fiche=11503","11503")</f>
        <v>11503</v>
      </c>
      <c r="D1501" s="4" t="str">
        <f>HYPERLINK("http://www.intercariforef.org/formations/certification-59644.html","59644")</f>
        <v>59644</v>
      </c>
      <c r="E1501" s="5">
        <v>2197</v>
      </c>
      <c r="F1501" s="5" t="s">
        <v>10</v>
      </c>
      <c r="G1501" s="5" t="s">
        <v>11</v>
      </c>
      <c r="H1501" s="3" t="s">
        <v>1905</v>
      </c>
    </row>
    <row r="1502" spans="1:8" ht="13.8" x14ac:dyDescent="0.25">
      <c r="A1502" s="3" t="s">
        <v>1890</v>
      </c>
      <c r="B1502" s="3" t="s">
        <v>1906</v>
      </c>
      <c r="C1502" s="4" t="str">
        <f>HYPERLINK("http://www.rncp.cncp.gouv.fr/grand-public/visualisationFiche?format=fr&amp;fiche=23870","23870")</f>
        <v>23870</v>
      </c>
      <c r="D1502" s="4" t="str">
        <f>HYPERLINK("http://www.intercariforef.org/formations/certification-75969.html","75969")</f>
        <v>75969</v>
      </c>
      <c r="E1502" s="5">
        <v>144354</v>
      </c>
      <c r="F1502" s="5" t="s">
        <v>10</v>
      </c>
      <c r="G1502" s="5" t="s">
        <v>11</v>
      </c>
      <c r="H1502" s="3" t="s">
        <v>1770</v>
      </c>
    </row>
    <row r="1503" spans="1:8" ht="13.8" x14ac:dyDescent="0.25">
      <c r="A1503" s="3" t="s">
        <v>1890</v>
      </c>
      <c r="B1503" s="3" t="s">
        <v>1907</v>
      </c>
      <c r="C1503" s="4" t="str">
        <f>HYPERLINK("http://www.rncp.cncp.gouv.fr/grand-public/visualisationFiche?format=fr&amp;fiche=12974","12974")</f>
        <v>12974</v>
      </c>
      <c r="D1503" s="4" t="str">
        <f>HYPERLINK("http://www.intercariforef.org/formations/certification-76221.html","76221")</f>
        <v>76221</v>
      </c>
      <c r="E1503" s="5">
        <v>130980</v>
      </c>
      <c r="F1503" s="5" t="s">
        <v>10</v>
      </c>
      <c r="G1503" s="5" t="s">
        <v>11</v>
      </c>
      <c r="H1503" s="3" t="s">
        <v>1871</v>
      </c>
    </row>
    <row r="1504" spans="1:8" ht="13.8" x14ac:dyDescent="0.25">
      <c r="A1504" s="3" t="s">
        <v>1890</v>
      </c>
      <c r="B1504" s="3" t="s">
        <v>1908</v>
      </c>
      <c r="C1504" s="4" t="str">
        <f>HYPERLINK("http://www.rncp.cncp.gouv.fr/grand-public/visualisationFiche?format=fr&amp;fiche=15818","15818")</f>
        <v>15818</v>
      </c>
      <c r="D1504" s="4" t="str">
        <f>HYPERLINK("http://www.intercariforef.org/formations/certification-78969.html","78969")</f>
        <v>78969</v>
      </c>
      <c r="E1504" s="5">
        <v>2194</v>
      </c>
      <c r="F1504" s="5" t="s">
        <v>10</v>
      </c>
      <c r="G1504" s="5" t="s">
        <v>11</v>
      </c>
      <c r="H1504" s="3" t="s">
        <v>675</v>
      </c>
    </row>
    <row r="1505" spans="1:8" ht="27.6" x14ac:dyDescent="0.25">
      <c r="A1505" s="3" t="s">
        <v>1890</v>
      </c>
      <c r="B1505" s="3" t="s">
        <v>1909</v>
      </c>
      <c r="C1505" s="4" t="str">
        <f>HYPERLINK("http://www.rncp.cncp.gouv.fr/grand-public/visualisationFiche?format=fr&amp;fiche=16650","16650")</f>
        <v>16650</v>
      </c>
      <c r="D1505" s="4" t="str">
        <f>HYPERLINK("http://www.intercariforef.org/formations/certification-80511.html","80511")</f>
        <v>80511</v>
      </c>
      <c r="E1505" s="5">
        <v>2195</v>
      </c>
      <c r="F1505" s="5" t="s">
        <v>10</v>
      </c>
      <c r="G1505" s="5" t="s">
        <v>11</v>
      </c>
      <c r="H1505" s="3" t="s">
        <v>1910</v>
      </c>
    </row>
    <row r="1506" spans="1:8" ht="13.8" x14ac:dyDescent="0.25">
      <c r="A1506" s="3" t="s">
        <v>1890</v>
      </c>
      <c r="B1506" s="3" t="s">
        <v>1911</v>
      </c>
      <c r="C1506" s="4" t="str">
        <f>HYPERLINK("http://www.rncp.cncp.gouv.fr/grand-public/visualisationFiche?format=fr&amp;fiche=6568","6568")</f>
        <v>6568</v>
      </c>
      <c r="D1506" s="4" t="str">
        <f>HYPERLINK("http://www.intercariforef.org/formations/certification-62707.html","62707")</f>
        <v>62707</v>
      </c>
      <c r="E1506" s="5">
        <v>2198</v>
      </c>
      <c r="F1506" s="5" t="s">
        <v>10</v>
      </c>
      <c r="G1506" s="5" t="s">
        <v>11</v>
      </c>
      <c r="H1506" s="3" t="s">
        <v>1066</v>
      </c>
    </row>
    <row r="1507" spans="1:8" ht="13.8" x14ac:dyDescent="0.25">
      <c r="A1507" s="3" t="s">
        <v>1890</v>
      </c>
      <c r="B1507" s="3" t="s">
        <v>1912</v>
      </c>
      <c r="C1507" s="4" t="str">
        <f>HYPERLINK("http://www.rncp.cncp.gouv.fr/grand-public/visualisationFiche?format=fr&amp;fiche=19188","19188")</f>
        <v>19188</v>
      </c>
      <c r="D1507" s="4" t="str">
        <f>HYPERLINK("http://www.intercariforef.org/formations/certification-57765.html","57765")</f>
        <v>57765</v>
      </c>
      <c r="E1507" s="5">
        <v>2199</v>
      </c>
      <c r="F1507" s="5" t="s">
        <v>10</v>
      </c>
      <c r="G1507" s="5" t="s">
        <v>11</v>
      </c>
      <c r="H1507" s="3" t="s">
        <v>1006</v>
      </c>
    </row>
    <row r="1508" spans="1:8" ht="13.8" x14ac:dyDescent="0.25">
      <c r="A1508" s="3" t="s">
        <v>1890</v>
      </c>
      <c r="B1508" s="3" t="s">
        <v>1913</v>
      </c>
      <c r="C1508" s="4" t="str">
        <f>HYPERLINK("http://www.rncp.cncp.gouv.fr/grand-public/visualisationFiche?format=fr&amp;fiche=1325","1325")</f>
        <v>1325</v>
      </c>
      <c r="D1508" s="4" t="str">
        <f>HYPERLINK("http://www.intercariforef.org/formations/certification-31018.html","31018")</f>
        <v>31018</v>
      </c>
      <c r="E1508" s="5">
        <v>2200</v>
      </c>
      <c r="F1508" s="5" t="s">
        <v>10</v>
      </c>
      <c r="G1508" s="5" t="s">
        <v>11</v>
      </c>
      <c r="H1508" s="3" t="s">
        <v>1066</v>
      </c>
    </row>
    <row r="1509" spans="1:8" ht="13.8" x14ac:dyDescent="0.25">
      <c r="A1509" s="3" t="s">
        <v>1890</v>
      </c>
      <c r="B1509" s="3" t="s">
        <v>1913</v>
      </c>
      <c r="C1509" s="4" t="str">
        <f>HYPERLINK("http://www.rncp.cncp.gouv.fr/grand-public/visualisationFiche?format=fr&amp;fiche=19197","19197")</f>
        <v>19197</v>
      </c>
      <c r="D1509" s="4" t="str">
        <f>HYPERLINK("http://www.intercariforef.org/formations/certification-83202.html","83202")</f>
        <v>83202</v>
      </c>
      <c r="E1509" s="5">
        <v>2201</v>
      </c>
      <c r="F1509" s="5" t="s">
        <v>10</v>
      </c>
      <c r="G1509" s="5" t="s">
        <v>11</v>
      </c>
      <c r="H1509" s="3" t="s">
        <v>1006</v>
      </c>
    </row>
    <row r="1510" spans="1:8" ht="13.8" x14ac:dyDescent="0.25">
      <c r="A1510" s="3" t="s">
        <v>1890</v>
      </c>
      <c r="B1510" s="3" t="s">
        <v>1914</v>
      </c>
      <c r="C1510" s="4" t="str">
        <f>HYPERLINK("http://www.rncp.cncp.gouv.fr/grand-public/visualisationFiche?format=fr&amp;fiche=23937","23937")</f>
        <v>23937</v>
      </c>
      <c r="D1510" s="4" t="str">
        <f>HYPERLINK("http://www.intercariforef.org/formations/certification-77600.html","77600")</f>
        <v>77600</v>
      </c>
      <c r="E1510" s="5">
        <v>2202</v>
      </c>
      <c r="F1510" s="5" t="s">
        <v>10</v>
      </c>
      <c r="G1510" s="5" t="s">
        <v>11</v>
      </c>
      <c r="H1510" s="3" t="s">
        <v>1915</v>
      </c>
    </row>
    <row r="1511" spans="1:8" ht="13.8" x14ac:dyDescent="0.25">
      <c r="A1511" s="3" t="s">
        <v>1890</v>
      </c>
      <c r="B1511" s="3" t="s">
        <v>1916</v>
      </c>
      <c r="C1511" s="4" t="str">
        <f>HYPERLINK("http://www.rncp.cncp.gouv.fr/grand-public/visualisationFiche?format=fr&amp;fiche=13357","13357")</f>
        <v>13357</v>
      </c>
      <c r="D1511" s="4" t="str">
        <f>HYPERLINK("http://www.intercariforef.org/formations/certification-76749.html","76749")</f>
        <v>76749</v>
      </c>
      <c r="E1511" s="5">
        <v>2203</v>
      </c>
      <c r="F1511" s="5" t="s">
        <v>10</v>
      </c>
      <c r="G1511" s="5" t="s">
        <v>11</v>
      </c>
      <c r="H1511" s="3" t="s">
        <v>1066</v>
      </c>
    </row>
    <row r="1512" spans="1:8" ht="13.8" x14ac:dyDescent="0.25">
      <c r="A1512" s="3" t="s">
        <v>1890</v>
      </c>
      <c r="B1512" s="3" t="s">
        <v>1917</v>
      </c>
      <c r="C1512" s="4" t="str">
        <f>HYPERLINK("http://www.rncp.cncp.gouv.fr/grand-public/visualisationFiche?format=fr&amp;fiche=13357","13357")</f>
        <v>13357</v>
      </c>
      <c r="D1512" s="4" t="str">
        <f>HYPERLINK("http://www.intercariforef.org/formations/certification-76751.html","76751")</f>
        <v>76751</v>
      </c>
      <c r="E1512" s="5">
        <v>2204</v>
      </c>
      <c r="F1512" s="5" t="s">
        <v>10</v>
      </c>
      <c r="G1512" s="5" t="s">
        <v>11</v>
      </c>
      <c r="H1512" s="3" t="s">
        <v>1066</v>
      </c>
    </row>
    <row r="1513" spans="1:8" ht="13.8" x14ac:dyDescent="0.25">
      <c r="A1513" s="3" t="s">
        <v>1890</v>
      </c>
      <c r="B1513" s="3" t="s">
        <v>1918</v>
      </c>
      <c r="C1513" s="4" t="str">
        <f>HYPERLINK("http://www.rncp.cncp.gouv.fr/grand-public/visualisationFiche?format=fr&amp;fiche=415","415")</f>
        <v>415</v>
      </c>
      <c r="D1513" s="4" t="str">
        <f>HYPERLINK("http://www.intercariforef.org/formations/certification-77034.html","77034")</f>
        <v>77034</v>
      </c>
      <c r="E1513" s="5">
        <v>2205</v>
      </c>
      <c r="F1513" s="5" t="s">
        <v>10</v>
      </c>
      <c r="G1513" s="5" t="s">
        <v>11</v>
      </c>
      <c r="H1513" s="3" t="s">
        <v>1919</v>
      </c>
    </row>
    <row r="1514" spans="1:8" ht="13.8" x14ac:dyDescent="0.25">
      <c r="A1514" s="3" t="s">
        <v>1890</v>
      </c>
      <c r="B1514" s="3" t="s">
        <v>1920</v>
      </c>
      <c r="C1514" s="4" t="str">
        <f>HYPERLINK("http://www.rncp.cncp.gouv.fr/grand-public/visualisationFiche?format=fr&amp;fiche=14372","14372")</f>
        <v>14372</v>
      </c>
      <c r="D1514" s="4" t="str">
        <f>HYPERLINK("http://www.intercariforef.org/formations/certification-77591.html","77591")</f>
        <v>77591</v>
      </c>
      <c r="E1514" s="5">
        <v>2213</v>
      </c>
      <c r="F1514" s="5" t="s">
        <v>10</v>
      </c>
      <c r="G1514" s="5" t="s">
        <v>11</v>
      </c>
      <c r="H1514" s="3" t="s">
        <v>1921</v>
      </c>
    </row>
    <row r="1515" spans="1:8" ht="13.8" x14ac:dyDescent="0.25">
      <c r="A1515" s="3" t="s">
        <v>1890</v>
      </c>
      <c r="B1515" s="3" t="s">
        <v>1922</v>
      </c>
      <c r="C1515" s="4" t="str">
        <f>HYPERLINK("http://www.rncp.cncp.gouv.fr/grand-public/visualisationFiche?format=fr&amp;fiche=7460","7460")</f>
        <v>7460</v>
      </c>
      <c r="D1515" s="4" t="str">
        <f>HYPERLINK("http://www.intercariforef.org/formations/certification-31024.html","31024")</f>
        <v>31024</v>
      </c>
      <c r="E1515" s="5">
        <v>2206</v>
      </c>
      <c r="F1515" s="5" t="s">
        <v>10</v>
      </c>
      <c r="G1515" s="5" t="s">
        <v>11</v>
      </c>
      <c r="H1515" s="3" t="s">
        <v>1066</v>
      </c>
    </row>
    <row r="1516" spans="1:8" ht="13.8" x14ac:dyDescent="0.25">
      <c r="A1516" s="3" t="s">
        <v>1890</v>
      </c>
      <c r="B1516" s="3" t="s">
        <v>1923</v>
      </c>
      <c r="C1516" s="4" t="str">
        <f>HYPERLINK("http://www.rncp.cncp.gouv.fr/grand-public/visualisationFiche?format=fr&amp;fiche=5728","5728")</f>
        <v>5728</v>
      </c>
      <c r="D1516" s="4" t="str">
        <f>HYPERLINK("http://www.intercariforef.org/formations/certification-58066.html","58066")</f>
        <v>58066</v>
      </c>
      <c r="E1516" s="5">
        <v>2207</v>
      </c>
      <c r="F1516" s="5" t="s">
        <v>10</v>
      </c>
      <c r="G1516" s="5" t="s">
        <v>11</v>
      </c>
      <c r="H1516" s="3" t="s">
        <v>591</v>
      </c>
    </row>
    <row r="1517" spans="1:8" ht="13.8" x14ac:dyDescent="0.25">
      <c r="A1517" s="3" t="s">
        <v>1890</v>
      </c>
      <c r="B1517" s="3" t="s">
        <v>1924</v>
      </c>
      <c r="C1517" s="4" t="str">
        <f>HYPERLINK("http://www.rncp.cncp.gouv.fr/grand-public/visualisationFiche?format=fr&amp;fiche=12302","12302")</f>
        <v>12302</v>
      </c>
      <c r="D1517" s="4" t="str">
        <f>HYPERLINK("http://www.intercariforef.org/formations/certification-74853.html","74853")</f>
        <v>74853</v>
      </c>
      <c r="E1517" s="5">
        <v>2208</v>
      </c>
      <c r="F1517" s="5" t="s">
        <v>10</v>
      </c>
      <c r="G1517" s="5" t="s">
        <v>11</v>
      </c>
      <c r="H1517" s="3" t="s">
        <v>1066</v>
      </c>
    </row>
    <row r="1518" spans="1:8" ht="13.8" x14ac:dyDescent="0.25">
      <c r="A1518" s="3" t="s">
        <v>1890</v>
      </c>
      <c r="B1518" s="3" t="s">
        <v>1925</v>
      </c>
      <c r="C1518" s="4" t="str">
        <f>HYPERLINK("http://www.rncp.cncp.gouv.fr/grand-public/visualisationFiche?format=fr&amp;fiche=9119","9119")</f>
        <v>9119</v>
      </c>
      <c r="D1518" s="4" t="str">
        <f>HYPERLINK("http://www.intercariforef.org/formations/certification-65625.html","65625")</f>
        <v>65625</v>
      </c>
      <c r="E1518" s="5">
        <v>2210</v>
      </c>
      <c r="F1518" s="5" t="s">
        <v>10</v>
      </c>
      <c r="G1518" s="5" t="s">
        <v>11</v>
      </c>
      <c r="H1518" s="3" t="s">
        <v>1926</v>
      </c>
    </row>
    <row r="1519" spans="1:8" ht="13.8" x14ac:dyDescent="0.25">
      <c r="A1519" s="3" t="s">
        <v>1890</v>
      </c>
      <c r="B1519" s="3" t="s">
        <v>1927</v>
      </c>
      <c r="C1519" s="4" t="str">
        <f>HYPERLINK("http://www.rncp.cncp.gouv.fr/grand-public/visualisationFiche?format=fr&amp;fiche=6933","6933")</f>
        <v>6933</v>
      </c>
      <c r="D1519" s="4" t="str">
        <f>HYPERLINK("http://www.intercariforef.org/formations/certification-62981.html","62981")</f>
        <v>62981</v>
      </c>
      <c r="E1519" s="5">
        <v>2209</v>
      </c>
      <c r="F1519" s="5" t="s">
        <v>10</v>
      </c>
      <c r="G1519" s="5" t="s">
        <v>11</v>
      </c>
      <c r="H1519" s="3" t="s">
        <v>1928</v>
      </c>
    </row>
    <row r="1520" spans="1:8" ht="13.8" x14ac:dyDescent="0.25">
      <c r="A1520" s="3" t="s">
        <v>1890</v>
      </c>
      <c r="B1520" s="3" t="s">
        <v>1929</v>
      </c>
      <c r="C1520" s="4" t="str">
        <f>HYPERLINK("http://www.rncp.cncp.gouv.fr/grand-public/visualisationFiche?format=fr&amp;fiche=4699","4699")</f>
        <v>4699</v>
      </c>
      <c r="D1520" s="4" t="str">
        <f>HYPERLINK("http://www.intercariforef.org/formations/certification-52876.html","52876")</f>
        <v>52876</v>
      </c>
      <c r="E1520" s="5">
        <v>2214</v>
      </c>
      <c r="F1520" s="5" t="s">
        <v>10</v>
      </c>
      <c r="G1520" s="5" t="s">
        <v>11</v>
      </c>
      <c r="H1520" s="3" t="s">
        <v>1066</v>
      </c>
    </row>
    <row r="1521" spans="1:8" ht="27.6" x14ac:dyDescent="0.25">
      <c r="A1521" s="3" t="s">
        <v>1890</v>
      </c>
      <c r="B1521" s="3" t="s">
        <v>1930</v>
      </c>
      <c r="C1521" s="4" t="str">
        <f>HYPERLINK("http://www.rncp.cncp.gouv.fr/grand-public/visualisationFiche?format=fr&amp;fiche=21706","21706")</f>
        <v>21706</v>
      </c>
      <c r="D1521" s="4" t="str">
        <f>HYPERLINK("http://www.intercariforef.org/formations/certification-69926.html","69926")</f>
        <v>69926</v>
      </c>
      <c r="E1521" s="5">
        <v>2211</v>
      </c>
      <c r="F1521" s="5" t="s">
        <v>10</v>
      </c>
      <c r="G1521" s="5" t="s">
        <v>11</v>
      </c>
      <c r="H1521" s="3" t="s">
        <v>1931</v>
      </c>
    </row>
    <row r="1522" spans="1:8" ht="13.8" x14ac:dyDescent="0.25">
      <c r="A1522" s="3" t="s">
        <v>1890</v>
      </c>
      <c r="B1522" s="3" t="s">
        <v>1932</v>
      </c>
      <c r="C1522" s="4" t="str">
        <f>HYPERLINK("http://www.rncp.cncp.gouv.fr/grand-public/visualisationFiche?format=fr&amp;fiche=12375","12375")</f>
        <v>12375</v>
      </c>
      <c r="D1522" s="4" t="str">
        <f>HYPERLINK("http://www.intercariforef.org/formations/certification-74854.html","74854")</f>
        <v>74854</v>
      </c>
      <c r="E1522" s="5">
        <v>2212</v>
      </c>
      <c r="F1522" s="5" t="s">
        <v>10</v>
      </c>
      <c r="G1522" s="5" t="s">
        <v>11</v>
      </c>
      <c r="H1522" s="3" t="s">
        <v>36</v>
      </c>
    </row>
    <row r="1523" spans="1:8" ht="13.8" x14ac:dyDescent="0.25">
      <c r="A1523" s="3" t="s">
        <v>1890</v>
      </c>
      <c r="B1523" s="3" t="s">
        <v>1933</v>
      </c>
      <c r="C1523" s="4" t="str">
        <f>HYPERLINK("http://www.rncp.cncp.gouv.fr/grand-public/visualisationFiche?format=fr&amp;fiche=23828","23828")</f>
        <v>23828</v>
      </c>
      <c r="D1523" s="4" t="str">
        <f>HYPERLINK("http://www.intercariforef.org/formations/certification-74844.html","74844")</f>
        <v>74844</v>
      </c>
      <c r="E1523" s="5">
        <v>2215</v>
      </c>
      <c r="F1523" s="5" t="s">
        <v>10</v>
      </c>
      <c r="G1523" s="5" t="s">
        <v>11</v>
      </c>
      <c r="H1523" s="3" t="s">
        <v>1770</v>
      </c>
    </row>
    <row r="1524" spans="1:8" ht="13.8" x14ac:dyDescent="0.25">
      <c r="A1524" s="3" t="s">
        <v>1890</v>
      </c>
      <c r="B1524" s="3" t="s">
        <v>1934</v>
      </c>
      <c r="C1524" s="4" t="str">
        <f>HYPERLINK("http://www.rncp.cncp.gouv.fr/grand-public/visualisationFiche?format=fr&amp;fiche=13658","13658")</f>
        <v>13658</v>
      </c>
      <c r="D1524" s="4" t="str">
        <f>HYPERLINK("http://www.intercariforef.org/formations/certification-77107.html","77107")</f>
        <v>77107</v>
      </c>
      <c r="E1524" s="5">
        <v>2216</v>
      </c>
      <c r="F1524" s="5" t="s">
        <v>10</v>
      </c>
      <c r="G1524" s="5" t="s">
        <v>11</v>
      </c>
      <c r="H1524" s="3" t="s">
        <v>1935</v>
      </c>
    </row>
    <row r="1525" spans="1:8" ht="27.6" x14ac:dyDescent="0.25">
      <c r="A1525" s="3" t="s">
        <v>1890</v>
      </c>
      <c r="B1525" s="3" t="s">
        <v>1936</v>
      </c>
      <c r="C1525" s="4" t="str">
        <f>HYPERLINK("http://www.rncp.cncp.gouv.fr/grand-public/visualisationFiche?format=fr&amp;fiche=19184","19184")</f>
        <v>19184</v>
      </c>
      <c r="D1525" s="4" t="str">
        <f>HYPERLINK("http://www.intercariforef.org/formations/certification-83170.html","83170")</f>
        <v>83170</v>
      </c>
      <c r="E1525" s="5">
        <v>155001</v>
      </c>
      <c r="F1525" s="5" t="s">
        <v>10</v>
      </c>
      <c r="G1525" s="5" t="s">
        <v>11</v>
      </c>
      <c r="H1525" s="3" t="s">
        <v>1937</v>
      </c>
    </row>
    <row r="1526" spans="1:8" ht="27.6" x14ac:dyDescent="0.25">
      <c r="A1526" s="3" t="s">
        <v>1890</v>
      </c>
      <c r="B1526" s="3" t="s">
        <v>1938</v>
      </c>
      <c r="C1526" s="4" t="str">
        <f>HYPERLINK("http://www.rncp.cncp.gouv.fr/grand-public/visualisationFiche?format=fr&amp;fiche=9824","9824")</f>
        <v>9824</v>
      </c>
      <c r="D1526" s="4" t="str">
        <f>HYPERLINK("http://www.intercariforef.org/formations/certification-69924.html","69924")</f>
        <v>69924</v>
      </c>
      <c r="E1526" s="5">
        <v>140147</v>
      </c>
      <c r="F1526" s="5" t="s">
        <v>10</v>
      </c>
      <c r="G1526" s="5" t="s">
        <v>11</v>
      </c>
      <c r="H1526" s="3" t="s">
        <v>1937</v>
      </c>
    </row>
    <row r="1527" spans="1:8" ht="13.8" x14ac:dyDescent="0.25">
      <c r="A1527" s="3" t="s">
        <v>1890</v>
      </c>
      <c r="B1527" s="3" t="s">
        <v>1939</v>
      </c>
      <c r="C1527" s="4" t="str">
        <f>HYPERLINK("http://www.rncp.cncp.gouv.fr/grand-public/visualisationFiche?format=fr&amp;fiche=1078","1078")</f>
        <v>1078</v>
      </c>
      <c r="D1527" s="4" t="str">
        <f>HYPERLINK("http://www.intercariforef.org/formations/certification-63417.html","63417")</f>
        <v>63417</v>
      </c>
      <c r="E1527" s="5">
        <v>2237</v>
      </c>
      <c r="F1527" s="5" t="s">
        <v>10</v>
      </c>
      <c r="G1527" s="5" t="s">
        <v>11</v>
      </c>
      <c r="H1527" s="3" t="s">
        <v>81</v>
      </c>
    </row>
    <row r="1528" spans="1:8" ht="13.8" x14ac:dyDescent="0.25">
      <c r="A1528" s="3" t="s">
        <v>1890</v>
      </c>
      <c r="B1528" s="3" t="s">
        <v>1940</v>
      </c>
      <c r="C1528" s="4" t="str">
        <f>HYPERLINK("http://www.rncp.cncp.gouv.fr/grand-public/visualisationFiche?format=fr&amp;fiche=1018","1018")</f>
        <v>1018</v>
      </c>
      <c r="D1528" s="4" t="str">
        <f>HYPERLINK("http://www.intercariforef.org/formations/certification-18803.html","18803")</f>
        <v>18803</v>
      </c>
      <c r="E1528" s="5">
        <v>2238</v>
      </c>
      <c r="F1528" s="5" t="s">
        <v>10</v>
      </c>
      <c r="G1528" s="5" t="s">
        <v>11</v>
      </c>
      <c r="H1528" s="3" t="s">
        <v>81</v>
      </c>
    </row>
    <row r="1529" spans="1:8" ht="13.8" x14ac:dyDescent="0.25">
      <c r="A1529" s="3" t="s">
        <v>1890</v>
      </c>
      <c r="B1529" s="3" t="s">
        <v>1941</v>
      </c>
      <c r="C1529" s="4" t="str">
        <f>HYPERLINK("http://www.rncp.cncp.gouv.fr/grand-public/visualisationFiche?format=fr&amp;fiche=5298","5298")</f>
        <v>5298</v>
      </c>
      <c r="D1529" s="4" t="str">
        <f>HYPERLINK("http://www.intercariforef.org/formations/certification-54459.html","54459")</f>
        <v>54459</v>
      </c>
      <c r="E1529" s="5">
        <v>130981</v>
      </c>
      <c r="F1529" s="5" t="s">
        <v>10</v>
      </c>
      <c r="G1529" s="5" t="s">
        <v>11</v>
      </c>
      <c r="H1529" s="3" t="s">
        <v>81</v>
      </c>
    </row>
    <row r="1530" spans="1:8" ht="13.8" x14ac:dyDescent="0.25">
      <c r="A1530" s="3" t="s">
        <v>1890</v>
      </c>
      <c r="B1530" s="3" t="s">
        <v>1942</v>
      </c>
      <c r="C1530" s="4" t="str">
        <f>HYPERLINK("http://www.rncp.cncp.gouv.fr/grand-public/visualisationFiche?format=fr&amp;fiche=1029","1029")</f>
        <v>1029</v>
      </c>
      <c r="D1530" s="4" t="str">
        <f>HYPERLINK("http://www.intercariforef.org/formations/certification-18817.html","18817")</f>
        <v>18817</v>
      </c>
      <c r="E1530" s="5">
        <v>2239</v>
      </c>
      <c r="F1530" s="5" t="s">
        <v>10</v>
      </c>
      <c r="G1530" s="5" t="s">
        <v>11</v>
      </c>
      <c r="H1530" s="3" t="s">
        <v>81</v>
      </c>
    </row>
    <row r="1531" spans="1:8" ht="13.8" x14ac:dyDescent="0.25">
      <c r="A1531" s="3" t="s">
        <v>1890</v>
      </c>
      <c r="B1531" s="3" t="s">
        <v>1943</v>
      </c>
      <c r="C1531" s="4" t="str">
        <f>HYPERLINK("http://www.rncp.cncp.gouv.fr/grand-public/visualisationFiche?format=fr&amp;fiche=6989","6989")</f>
        <v>6989</v>
      </c>
      <c r="D1531" s="4" t="str">
        <f>HYPERLINK("http://www.intercariforef.org/formations/certification-63193.html","63193")</f>
        <v>63193</v>
      </c>
      <c r="E1531" s="5">
        <v>2240</v>
      </c>
      <c r="F1531" s="5" t="s">
        <v>10</v>
      </c>
      <c r="G1531" s="5" t="s">
        <v>11</v>
      </c>
      <c r="H1531" s="3" t="s">
        <v>81</v>
      </c>
    </row>
    <row r="1532" spans="1:8" ht="13.8" x14ac:dyDescent="0.25">
      <c r="A1532" s="3" t="s">
        <v>1890</v>
      </c>
      <c r="B1532" s="3" t="s">
        <v>1944</v>
      </c>
      <c r="C1532" s="4" t="str">
        <f>HYPERLINK("http://www.rncp.cncp.gouv.fr/grand-public/visualisationFiche?format=fr&amp;fiche=10023","10023")</f>
        <v>10023</v>
      </c>
      <c r="D1532" s="4" t="str">
        <f>HYPERLINK("http://www.intercariforef.org/formations/certification-57473.html","57473")</f>
        <v>57473</v>
      </c>
      <c r="E1532" s="5">
        <v>2236</v>
      </c>
      <c r="F1532" s="5" t="s">
        <v>10</v>
      </c>
      <c r="G1532" s="5" t="s">
        <v>11</v>
      </c>
      <c r="H1532" s="3" t="s">
        <v>81</v>
      </c>
    </row>
    <row r="1533" spans="1:8" ht="13.8" x14ac:dyDescent="0.25">
      <c r="A1533" s="3" t="s">
        <v>1890</v>
      </c>
      <c r="B1533" s="3" t="s">
        <v>1945</v>
      </c>
      <c r="C1533" s="4" t="str">
        <f>HYPERLINK("http://www.rncp.cncp.gouv.fr/grand-public/visualisationFiche?format=fr&amp;fiche=4922","4922")</f>
        <v>4922</v>
      </c>
      <c r="D1533" s="4" t="str">
        <f>HYPERLINK("http://www.intercariforef.org/formations/certification-53656.html","53656")</f>
        <v>53656</v>
      </c>
      <c r="E1533" s="5">
        <v>130983</v>
      </c>
      <c r="F1533" s="5" t="s">
        <v>10</v>
      </c>
      <c r="G1533" s="5" t="s">
        <v>11</v>
      </c>
      <c r="H1533" s="3" t="s">
        <v>81</v>
      </c>
    </row>
    <row r="1534" spans="1:8" ht="13.8" x14ac:dyDescent="0.25">
      <c r="A1534" s="3" t="s">
        <v>1890</v>
      </c>
      <c r="B1534" s="3" t="s">
        <v>1946</v>
      </c>
      <c r="C1534" s="4" t="str">
        <f>HYPERLINK("http://www.rncp.cncp.gouv.fr/grand-public/visualisationFiche?format=fr&amp;fiche=18982","18982")</f>
        <v>18982</v>
      </c>
      <c r="D1534" s="4" t="str">
        <f>HYPERLINK("http://www.intercariforef.org/formations/certification-18834.html","18834")</f>
        <v>18834</v>
      </c>
      <c r="E1534" s="5">
        <v>130984</v>
      </c>
      <c r="F1534" s="5" t="s">
        <v>10</v>
      </c>
      <c r="G1534" s="5" t="s">
        <v>11</v>
      </c>
      <c r="H1534" s="3" t="s">
        <v>81</v>
      </c>
    </row>
    <row r="1535" spans="1:8" ht="13.8" x14ac:dyDescent="0.25">
      <c r="A1535" s="3" t="s">
        <v>1890</v>
      </c>
      <c r="B1535" s="3" t="s">
        <v>1947</v>
      </c>
      <c r="C1535" s="4" t="str">
        <f>HYPERLINK("http://www.rncp.cncp.gouv.fr/grand-public/visualisationFiche?format=fr&amp;fiche=1175","1175")</f>
        <v>1175</v>
      </c>
      <c r="D1535" s="4" t="str">
        <f>HYPERLINK("http://www.intercariforef.org/formations/certification-18835.html","18835")</f>
        <v>18835</v>
      </c>
      <c r="E1535" s="5">
        <v>130985</v>
      </c>
      <c r="F1535" s="5" t="s">
        <v>10</v>
      </c>
      <c r="G1535" s="5" t="s">
        <v>11</v>
      </c>
      <c r="H1535" s="3" t="s">
        <v>81</v>
      </c>
    </row>
    <row r="1536" spans="1:8" ht="13.8" x14ac:dyDescent="0.25">
      <c r="A1536" s="3" t="s">
        <v>1890</v>
      </c>
      <c r="B1536" s="3" t="s">
        <v>1948</v>
      </c>
      <c r="C1536" s="4" t="str">
        <f>HYPERLINK("http://www.rncp.cncp.gouv.fr/grand-public/visualisationFiche?format=fr&amp;fiche=1122","1122")</f>
        <v>1122</v>
      </c>
      <c r="D1536" s="4" t="str">
        <f>HYPERLINK("http://www.intercariforef.org/formations/certification-75789.html","75789")</f>
        <v>75789</v>
      </c>
      <c r="E1536" s="5">
        <v>2241</v>
      </c>
      <c r="F1536" s="5" t="s">
        <v>10</v>
      </c>
      <c r="G1536" s="5" t="s">
        <v>11</v>
      </c>
      <c r="H1536" s="3" t="s">
        <v>81</v>
      </c>
    </row>
    <row r="1537" spans="1:8" ht="13.8" x14ac:dyDescent="0.25">
      <c r="A1537" s="3" t="s">
        <v>1890</v>
      </c>
      <c r="B1537" s="3" t="s">
        <v>1949</v>
      </c>
      <c r="C1537" s="4" t="str">
        <f>HYPERLINK("http://www.rncp.cncp.gouv.fr/grand-public/visualisationFiche?format=fr&amp;fiche=1033","1033")</f>
        <v>1033</v>
      </c>
      <c r="D1537" s="4" t="str">
        <f>HYPERLINK("http://www.intercariforef.org/formations/certification-18840.html","18840")</f>
        <v>18840</v>
      </c>
      <c r="E1537" s="5">
        <v>2242</v>
      </c>
      <c r="F1537" s="5" t="s">
        <v>10</v>
      </c>
      <c r="G1537" s="5" t="s">
        <v>11</v>
      </c>
      <c r="H1537" s="3" t="s">
        <v>81</v>
      </c>
    </row>
    <row r="1538" spans="1:8" ht="13.8" x14ac:dyDescent="0.25">
      <c r="A1538" s="3" t="s">
        <v>1890</v>
      </c>
      <c r="B1538" s="3" t="s">
        <v>1950</v>
      </c>
      <c r="C1538" s="4" t="str">
        <f>HYPERLINK("http://www.rncp.cncp.gouv.fr/grand-public/visualisationFiche?format=fr&amp;fiche=1034","1034")</f>
        <v>1034</v>
      </c>
      <c r="D1538" s="4" t="str">
        <f>HYPERLINK("http://www.intercariforef.org/formations/certification-18846.html","18846")</f>
        <v>18846</v>
      </c>
      <c r="E1538" s="5">
        <v>2243</v>
      </c>
      <c r="F1538" s="5" t="s">
        <v>10</v>
      </c>
      <c r="G1538" s="5" t="s">
        <v>11</v>
      </c>
      <c r="H1538" s="3" t="s">
        <v>81</v>
      </c>
    </row>
    <row r="1539" spans="1:8" ht="13.8" x14ac:dyDescent="0.25">
      <c r="A1539" s="3" t="s">
        <v>1890</v>
      </c>
      <c r="B1539" s="3" t="s">
        <v>1951</v>
      </c>
      <c r="C1539" s="4" t="str">
        <f>HYPERLINK("http://www.rncp.cncp.gouv.fr/grand-public/visualisationFiche?format=fr&amp;fiche=1035","1035")</f>
        <v>1035</v>
      </c>
      <c r="D1539" s="4" t="str">
        <f>HYPERLINK("http://www.intercariforef.org/formations/certification-81494.html","81494")</f>
        <v>81494</v>
      </c>
      <c r="E1539" s="5">
        <v>2244</v>
      </c>
      <c r="F1539" s="5" t="s">
        <v>10</v>
      </c>
      <c r="G1539" s="5" t="s">
        <v>11</v>
      </c>
      <c r="H1539" s="3" t="s">
        <v>81</v>
      </c>
    </row>
    <row r="1540" spans="1:8" ht="13.8" x14ac:dyDescent="0.25">
      <c r="A1540" s="3" t="s">
        <v>1890</v>
      </c>
      <c r="B1540" s="3" t="s">
        <v>1952</v>
      </c>
      <c r="C1540" s="4" t="str">
        <f>HYPERLINK("http://www.rncp.cncp.gouv.fr/grand-public/visualisationFiche?format=fr&amp;fiche=7481","7481")</f>
        <v>7481</v>
      </c>
      <c r="D1540" s="4" t="str">
        <f>HYPERLINK("http://www.intercariforef.org/formations/certification-63656.html","63656")</f>
        <v>63656</v>
      </c>
      <c r="E1540" s="5">
        <v>2245</v>
      </c>
      <c r="F1540" s="5" t="s">
        <v>10</v>
      </c>
      <c r="G1540" s="5" t="s">
        <v>11</v>
      </c>
      <c r="H1540" s="3" t="s">
        <v>81</v>
      </c>
    </row>
    <row r="1541" spans="1:8" ht="13.8" x14ac:dyDescent="0.25">
      <c r="A1541" s="3" t="s">
        <v>1890</v>
      </c>
      <c r="B1541" s="3" t="s">
        <v>1953</v>
      </c>
      <c r="C1541" s="4" t="str">
        <f>HYPERLINK("http://www.rncp.cncp.gouv.fr/grand-public/visualisationFiche?format=fr&amp;fiche=1039","1039")</f>
        <v>1039</v>
      </c>
      <c r="D1541" s="4" t="str">
        <f>HYPERLINK("http://www.intercariforef.org/formations/certification-18866.html","18866")</f>
        <v>18866</v>
      </c>
      <c r="E1541" s="5">
        <v>2246</v>
      </c>
      <c r="F1541" s="5" t="s">
        <v>10</v>
      </c>
      <c r="G1541" s="5" t="s">
        <v>11</v>
      </c>
      <c r="H1541" s="3" t="s">
        <v>81</v>
      </c>
    </row>
    <row r="1542" spans="1:8" ht="13.8" x14ac:dyDescent="0.25">
      <c r="A1542" s="3" t="s">
        <v>1890</v>
      </c>
      <c r="B1542" s="3" t="s">
        <v>1954</v>
      </c>
      <c r="C1542" s="4" t="str">
        <f>HYPERLINK("http://www.rncp.cncp.gouv.fr/grand-public/visualisationFiche?format=fr&amp;fiche=2831","2831")</f>
        <v>2831</v>
      </c>
      <c r="D1542" s="4" t="str">
        <f>HYPERLINK("http://www.intercariforef.org/formations/certification-31975.html","31975")</f>
        <v>31975</v>
      </c>
      <c r="E1542" s="5">
        <v>2247</v>
      </c>
      <c r="F1542" s="5" t="s">
        <v>10</v>
      </c>
      <c r="G1542" s="5" t="s">
        <v>11</v>
      </c>
      <c r="H1542" s="3" t="s">
        <v>81</v>
      </c>
    </row>
    <row r="1543" spans="1:8" ht="13.8" x14ac:dyDescent="0.25">
      <c r="A1543" s="3" t="s">
        <v>1890</v>
      </c>
      <c r="B1543" s="3" t="s">
        <v>1955</v>
      </c>
      <c r="C1543" s="4" t="str">
        <f>HYPERLINK("http://www.rncp.cncp.gouv.fr/grand-public/visualisationFiche?format=fr&amp;fiche=423","423")</f>
        <v>423</v>
      </c>
      <c r="D1543" s="4" t="str">
        <f>HYPERLINK("http://www.intercariforef.org/formations/certification-18869.html","18869")</f>
        <v>18869</v>
      </c>
      <c r="E1543" s="5">
        <v>2248</v>
      </c>
      <c r="F1543" s="5" t="s">
        <v>10</v>
      </c>
      <c r="G1543" s="5" t="s">
        <v>11</v>
      </c>
      <c r="H1543" s="3" t="s">
        <v>81</v>
      </c>
    </row>
    <row r="1544" spans="1:8" ht="13.8" x14ac:dyDescent="0.25">
      <c r="A1544" s="3" t="s">
        <v>1890</v>
      </c>
      <c r="B1544" s="3" t="s">
        <v>1956</v>
      </c>
      <c r="C1544" s="4" t="str">
        <f>HYPERLINK("http://www.rncp.cncp.gouv.fr/grand-public/visualisationFiche?format=fr&amp;fiche=12808","12808")</f>
        <v>12808</v>
      </c>
      <c r="D1544" s="4" t="str">
        <f>HYPERLINK("http://www.intercariforef.org/formations/certification-75791.html","75791")</f>
        <v>75791</v>
      </c>
      <c r="E1544" s="5">
        <v>2249</v>
      </c>
      <c r="F1544" s="5" t="s">
        <v>10</v>
      </c>
      <c r="G1544" s="5" t="s">
        <v>11</v>
      </c>
      <c r="H1544" s="3" t="s">
        <v>81</v>
      </c>
    </row>
    <row r="1545" spans="1:8" ht="13.8" x14ac:dyDescent="0.25">
      <c r="A1545" s="3" t="s">
        <v>1890</v>
      </c>
      <c r="B1545" s="3" t="s">
        <v>1957</v>
      </c>
      <c r="C1545" s="4" t="str">
        <f>HYPERLINK("http://www.rncp.cncp.gouv.fr/grand-public/visualisationFiche?format=fr&amp;fiche=7364","7364")</f>
        <v>7364</v>
      </c>
      <c r="D1545" s="4" t="str">
        <f>HYPERLINK("http://www.intercariforef.org/formations/certification-63194.html","63194")</f>
        <v>63194</v>
      </c>
      <c r="E1545" s="5">
        <v>2250</v>
      </c>
      <c r="F1545" s="5" t="s">
        <v>10</v>
      </c>
      <c r="G1545" s="5" t="s">
        <v>11</v>
      </c>
      <c r="H1545" s="3" t="s">
        <v>81</v>
      </c>
    </row>
    <row r="1546" spans="1:8" ht="13.8" x14ac:dyDescent="0.25">
      <c r="A1546" s="3" t="s">
        <v>1890</v>
      </c>
      <c r="B1546" s="3" t="s">
        <v>1958</v>
      </c>
      <c r="C1546" s="4" t="str">
        <f>HYPERLINK("http://www.rncp.cncp.gouv.fr/grand-public/visualisationFiche?format=fr&amp;fiche=1042","1042")</f>
        <v>1042</v>
      </c>
      <c r="D1546" s="4" t="str">
        <f>HYPERLINK("http://www.intercariforef.org/formations/certification-18871.html","18871")</f>
        <v>18871</v>
      </c>
      <c r="E1546" s="5">
        <v>2251</v>
      </c>
      <c r="F1546" s="5" t="s">
        <v>10</v>
      </c>
      <c r="G1546" s="5" t="s">
        <v>11</v>
      </c>
      <c r="H1546" s="3" t="s">
        <v>81</v>
      </c>
    </row>
    <row r="1547" spans="1:8" ht="13.8" x14ac:dyDescent="0.25">
      <c r="A1547" s="3" t="s">
        <v>1890</v>
      </c>
      <c r="B1547" s="3" t="s">
        <v>1959</v>
      </c>
      <c r="C1547" s="4" t="str">
        <f>HYPERLINK("http://www.rncp.cncp.gouv.fr/grand-public/visualisationFiche?format=fr&amp;fiche=1043","1043")</f>
        <v>1043</v>
      </c>
      <c r="D1547" s="4" t="str">
        <f>HYPERLINK("http://www.intercariforef.org/formations/certification-52838.html","52838")</f>
        <v>52838</v>
      </c>
      <c r="E1547" s="5">
        <v>2252</v>
      </c>
      <c r="F1547" s="5" t="s">
        <v>10</v>
      </c>
      <c r="G1547" s="5" t="s">
        <v>11</v>
      </c>
      <c r="H1547" s="3" t="s">
        <v>81</v>
      </c>
    </row>
    <row r="1548" spans="1:8" ht="13.8" x14ac:dyDescent="0.25">
      <c r="A1548" s="3" t="s">
        <v>1890</v>
      </c>
      <c r="B1548" s="3" t="s">
        <v>1960</v>
      </c>
      <c r="C1548" s="4" t="str">
        <f>HYPERLINK("http://www.rncp.cncp.gouv.fr/grand-public/visualisationFiche?format=fr&amp;fiche=1171","1171")</f>
        <v>1171</v>
      </c>
      <c r="D1548" s="4" t="str">
        <f>HYPERLINK("http://www.intercariforef.org/formations/certification-18877.html","18877")</f>
        <v>18877</v>
      </c>
      <c r="E1548" s="5">
        <v>2253</v>
      </c>
      <c r="F1548" s="5" t="s">
        <v>10</v>
      </c>
      <c r="G1548" s="5" t="s">
        <v>11</v>
      </c>
      <c r="H1548" s="3" t="s">
        <v>81</v>
      </c>
    </row>
    <row r="1549" spans="1:8" ht="13.8" x14ac:dyDescent="0.25">
      <c r="A1549" s="3" t="s">
        <v>1890</v>
      </c>
      <c r="B1549" s="3" t="s">
        <v>1961</v>
      </c>
      <c r="C1549" s="4" t="str">
        <f>HYPERLINK("http://www.rncp.cncp.gouv.fr/grand-public/visualisationFiche?format=fr&amp;fiche=1044","1044")</f>
        <v>1044</v>
      </c>
      <c r="D1549" s="4" t="str">
        <f>HYPERLINK("http://www.intercariforef.org/formations/certification-18876.html","18876")</f>
        <v>18876</v>
      </c>
      <c r="E1549" s="5">
        <v>2254</v>
      </c>
      <c r="F1549" s="5" t="s">
        <v>10</v>
      </c>
      <c r="G1549" s="5" t="s">
        <v>11</v>
      </c>
      <c r="H1549" s="3" t="s">
        <v>81</v>
      </c>
    </row>
    <row r="1550" spans="1:8" ht="13.8" x14ac:dyDescent="0.25">
      <c r="A1550" s="3" t="s">
        <v>1890</v>
      </c>
      <c r="B1550" s="3" t="s">
        <v>1962</v>
      </c>
      <c r="C1550" s="4" t="str">
        <f>HYPERLINK("http://www.rncp.cncp.gouv.fr/grand-public/visualisationFiche?format=fr&amp;fiche=5657","5657")</f>
        <v>5657</v>
      </c>
      <c r="D1550" s="4" t="str">
        <f>HYPERLINK("http://www.intercariforef.org/formations/certification-59361.html","59361")</f>
        <v>59361</v>
      </c>
      <c r="E1550" s="5">
        <v>16412</v>
      </c>
      <c r="F1550" s="5" t="s">
        <v>10</v>
      </c>
      <c r="G1550" s="5" t="s">
        <v>11</v>
      </c>
      <c r="H1550" s="3" t="s">
        <v>81</v>
      </c>
    </row>
    <row r="1551" spans="1:8" ht="13.8" x14ac:dyDescent="0.25">
      <c r="A1551" s="3" t="s">
        <v>1890</v>
      </c>
      <c r="B1551" s="3" t="s">
        <v>1963</v>
      </c>
      <c r="C1551" s="4" t="str">
        <f>HYPERLINK("http://www.rncp.cncp.gouv.fr/grand-public/visualisationFiche?format=fr&amp;fiche=3148","3148")</f>
        <v>3148</v>
      </c>
      <c r="D1551" s="4" t="str">
        <f>HYPERLINK("http://www.intercariforef.org/formations/certification-53178.html","53178")</f>
        <v>53178</v>
      </c>
      <c r="E1551" s="5">
        <v>2255</v>
      </c>
      <c r="F1551" s="5" t="s">
        <v>10</v>
      </c>
      <c r="G1551" s="5" t="s">
        <v>11</v>
      </c>
      <c r="H1551" s="3" t="s">
        <v>81</v>
      </c>
    </row>
    <row r="1552" spans="1:8" ht="13.8" x14ac:dyDescent="0.25">
      <c r="A1552" s="3" t="s">
        <v>1890</v>
      </c>
      <c r="B1552" s="3" t="s">
        <v>1964</v>
      </c>
      <c r="C1552" s="4" t="str">
        <f>HYPERLINK("http://www.rncp.cncp.gouv.fr/grand-public/visualisationFiche?format=fr&amp;fiche=854","854")</f>
        <v>854</v>
      </c>
      <c r="D1552" s="4" t="str">
        <f>HYPERLINK("http://www.intercariforef.org/formations/certification-18882.html","18882")</f>
        <v>18882</v>
      </c>
      <c r="E1552" s="5">
        <v>2256</v>
      </c>
      <c r="F1552" s="5" t="s">
        <v>10</v>
      </c>
      <c r="G1552" s="5" t="s">
        <v>11</v>
      </c>
      <c r="H1552" s="3" t="s">
        <v>81</v>
      </c>
    </row>
    <row r="1553" spans="1:8" ht="13.8" x14ac:dyDescent="0.25">
      <c r="A1553" s="3" t="s">
        <v>1890</v>
      </c>
      <c r="B1553" s="3" t="s">
        <v>1965</v>
      </c>
      <c r="C1553" s="4" t="str">
        <f>HYPERLINK("http://www.rncp.cncp.gouv.fr/grand-public/visualisationFiche?format=fr&amp;fiche=1169","1169")</f>
        <v>1169</v>
      </c>
      <c r="D1553" s="4" t="str">
        <f>HYPERLINK("http://www.intercariforef.org/formations/certification-77617.html","77617")</f>
        <v>77617</v>
      </c>
      <c r="E1553" s="5">
        <v>16411</v>
      </c>
      <c r="F1553" s="5" t="s">
        <v>10</v>
      </c>
      <c r="G1553" s="5" t="s">
        <v>11</v>
      </c>
      <c r="H1553" s="3" t="s">
        <v>81</v>
      </c>
    </row>
    <row r="1554" spans="1:8" ht="13.8" x14ac:dyDescent="0.25">
      <c r="A1554" s="3" t="s">
        <v>1890</v>
      </c>
      <c r="B1554" s="3" t="s">
        <v>1966</v>
      </c>
      <c r="C1554" s="4" t="str">
        <f>HYPERLINK("http://www.rncp.cncp.gouv.fr/grand-public/visualisationFiche?format=fr&amp;fiche=1045","1045")</f>
        <v>1045</v>
      </c>
      <c r="D1554" s="4" t="str">
        <f>HYPERLINK("http://www.intercariforef.org/formations/certification-18883.html","18883")</f>
        <v>18883</v>
      </c>
      <c r="E1554" s="5">
        <v>130982</v>
      </c>
      <c r="F1554" s="5" t="s">
        <v>10</v>
      </c>
      <c r="G1554" s="5" t="s">
        <v>11</v>
      </c>
      <c r="H1554" s="3" t="s">
        <v>81</v>
      </c>
    </row>
    <row r="1555" spans="1:8" ht="13.8" x14ac:dyDescent="0.25">
      <c r="A1555" s="3" t="s">
        <v>1890</v>
      </c>
      <c r="B1555" s="3" t="s">
        <v>1967</v>
      </c>
      <c r="C1555" s="4" t="str">
        <f>HYPERLINK("http://www.rncp.cncp.gouv.fr/grand-public/visualisationFiche?format=fr&amp;fiche=1046","1046")</f>
        <v>1046</v>
      </c>
      <c r="D1555" s="4" t="str">
        <f>HYPERLINK("http://www.intercariforef.org/formations/certification-18884.html","18884")</f>
        <v>18884</v>
      </c>
      <c r="E1555" s="5">
        <v>2257</v>
      </c>
      <c r="F1555" s="5" t="s">
        <v>10</v>
      </c>
      <c r="G1555" s="5" t="s">
        <v>11</v>
      </c>
      <c r="H1555" s="3" t="s">
        <v>81</v>
      </c>
    </row>
    <row r="1556" spans="1:8" ht="13.8" x14ac:dyDescent="0.25">
      <c r="A1556" s="3" t="s">
        <v>1890</v>
      </c>
      <c r="B1556" s="3" t="s">
        <v>1968</v>
      </c>
      <c r="C1556" s="4" t="str">
        <f>HYPERLINK("http://www.rncp.cncp.gouv.fr/grand-public/visualisationFiche?format=fr&amp;fiche=7570","7570")</f>
        <v>7570</v>
      </c>
      <c r="D1556" s="4" t="str">
        <f>HYPERLINK("http://www.intercariforef.org/formations/certification-64218.html","64218")</f>
        <v>64218</v>
      </c>
      <c r="E1556" s="5">
        <v>161329</v>
      </c>
      <c r="F1556" s="5" t="s">
        <v>10</v>
      </c>
      <c r="G1556" s="5" t="s">
        <v>11</v>
      </c>
      <c r="H1556" s="3" t="s">
        <v>81</v>
      </c>
    </row>
    <row r="1557" spans="1:8" ht="13.8" x14ac:dyDescent="0.25">
      <c r="A1557" s="3" t="s">
        <v>1890</v>
      </c>
      <c r="B1557" s="3" t="s">
        <v>1969</v>
      </c>
      <c r="C1557" s="4" t="str">
        <f>HYPERLINK("http://www.rncp.cncp.gouv.fr/grand-public/visualisationFiche?format=fr&amp;fiche=4497","4497")</f>
        <v>4497</v>
      </c>
      <c r="D1557" s="4" t="str">
        <f>HYPERLINK("http://www.intercariforef.org/formations/certification-18894.html","18894")</f>
        <v>18894</v>
      </c>
      <c r="E1557" s="5">
        <v>2258</v>
      </c>
      <c r="F1557" s="5" t="s">
        <v>10</v>
      </c>
      <c r="G1557" s="5" t="s">
        <v>11</v>
      </c>
      <c r="H1557" s="3" t="s">
        <v>81</v>
      </c>
    </row>
    <row r="1558" spans="1:8" ht="13.8" x14ac:dyDescent="0.25">
      <c r="A1558" s="3" t="s">
        <v>1890</v>
      </c>
      <c r="B1558" s="3" t="s">
        <v>1970</v>
      </c>
      <c r="C1558" s="4" t="str">
        <f>HYPERLINK("http://www.rncp.cncp.gouv.fr/grand-public/visualisationFiche?format=fr&amp;fiche=1051","1051")</f>
        <v>1051</v>
      </c>
      <c r="D1558" s="4" t="str">
        <f>HYPERLINK("http://www.intercariforef.org/formations/certification-18900.html","18900")</f>
        <v>18900</v>
      </c>
      <c r="E1558" s="5">
        <v>2259</v>
      </c>
      <c r="F1558" s="5" t="s">
        <v>10</v>
      </c>
      <c r="G1558" s="5" t="s">
        <v>11</v>
      </c>
      <c r="H1558" s="3" t="s">
        <v>81</v>
      </c>
    </row>
    <row r="1559" spans="1:8" ht="13.8" x14ac:dyDescent="0.25">
      <c r="A1559" s="3" t="s">
        <v>1890</v>
      </c>
      <c r="B1559" s="3" t="s">
        <v>1971</v>
      </c>
      <c r="C1559" s="4" t="str">
        <f>HYPERLINK("http://www.rncp.cncp.gouv.fr/grand-public/visualisationFiche?format=fr&amp;fiche=12766","12766")</f>
        <v>12766</v>
      </c>
      <c r="D1559" s="4" t="str">
        <f>HYPERLINK("http://www.intercariforef.org/formations/certification-75792.html","75792")</f>
        <v>75792</v>
      </c>
      <c r="E1559" s="5">
        <v>2260</v>
      </c>
      <c r="F1559" s="5" t="s">
        <v>10</v>
      </c>
      <c r="G1559" s="5" t="s">
        <v>11</v>
      </c>
      <c r="H1559" s="3" t="s">
        <v>81</v>
      </c>
    </row>
    <row r="1560" spans="1:8" ht="13.8" x14ac:dyDescent="0.25">
      <c r="A1560" s="3" t="s">
        <v>1890</v>
      </c>
      <c r="B1560" s="3" t="s">
        <v>1972</v>
      </c>
      <c r="C1560" s="4" t="str">
        <f>HYPERLINK("http://www.rncp.cncp.gouv.fr/grand-public/visualisationFiche?format=fr&amp;fiche=1053","1053")</f>
        <v>1053</v>
      </c>
      <c r="D1560" s="4" t="str">
        <f>HYPERLINK("http://www.intercariforef.org/formations/certification-18910.html","18910")</f>
        <v>18910</v>
      </c>
      <c r="E1560" s="5">
        <v>2262</v>
      </c>
      <c r="F1560" s="5" t="s">
        <v>10</v>
      </c>
      <c r="G1560" s="5" t="s">
        <v>11</v>
      </c>
      <c r="H1560" s="3" t="s">
        <v>81</v>
      </c>
    </row>
    <row r="1561" spans="1:8" ht="13.8" x14ac:dyDescent="0.25">
      <c r="A1561" s="3" t="s">
        <v>1890</v>
      </c>
      <c r="B1561" s="3" t="s">
        <v>1973</v>
      </c>
      <c r="C1561" s="4" t="str">
        <f>HYPERLINK("http://www.rncp.cncp.gouv.fr/grand-public/visualisationFiche?format=fr&amp;fiche=1054","1054")</f>
        <v>1054</v>
      </c>
      <c r="D1561" s="4" t="str">
        <f>HYPERLINK("http://www.intercariforef.org/formations/certification-18908.html","18908")</f>
        <v>18908</v>
      </c>
      <c r="E1561" s="5">
        <v>2261</v>
      </c>
      <c r="F1561" s="5" t="s">
        <v>10</v>
      </c>
      <c r="G1561" s="5" t="s">
        <v>11</v>
      </c>
      <c r="H1561" s="3" t="s">
        <v>81</v>
      </c>
    </row>
    <row r="1562" spans="1:8" ht="13.8" x14ac:dyDescent="0.25">
      <c r="A1562" s="3" t="s">
        <v>1890</v>
      </c>
      <c r="B1562" s="3" t="s">
        <v>1974</v>
      </c>
      <c r="C1562" s="4" t="str">
        <f>HYPERLINK("http://www.rncp.cncp.gouv.fr/grand-public/visualisationFiche?format=fr&amp;fiche=1055","1055")</f>
        <v>1055</v>
      </c>
      <c r="D1562" s="4" t="str">
        <f>HYPERLINK("http://www.intercariforef.org/formations/certification-18922.html","18922")</f>
        <v>18922</v>
      </c>
      <c r="E1562" s="5">
        <v>2265</v>
      </c>
      <c r="F1562" s="5" t="s">
        <v>10</v>
      </c>
      <c r="G1562" s="5" t="s">
        <v>11</v>
      </c>
      <c r="H1562" s="3" t="s">
        <v>81</v>
      </c>
    </row>
    <row r="1563" spans="1:8" ht="13.8" x14ac:dyDescent="0.25">
      <c r="A1563" s="3" t="s">
        <v>1890</v>
      </c>
      <c r="B1563" s="3" t="s">
        <v>1975</v>
      </c>
      <c r="C1563" s="4" t="str">
        <f>HYPERLINK("http://www.rncp.cncp.gouv.fr/grand-public/visualisationFiche?format=fr&amp;fiche=20807","20807")</f>
        <v>20807</v>
      </c>
      <c r="D1563" s="4" t="str">
        <f>HYPERLINK("http://www.intercariforef.org/formations/certification-82786.html","82786")</f>
        <v>82786</v>
      </c>
      <c r="E1563" s="5">
        <v>144367</v>
      </c>
      <c r="F1563" s="5" t="s">
        <v>10</v>
      </c>
      <c r="G1563" s="5" t="s">
        <v>11</v>
      </c>
      <c r="H1563" s="3" t="s">
        <v>81</v>
      </c>
    </row>
    <row r="1564" spans="1:8" ht="13.8" x14ac:dyDescent="0.25">
      <c r="A1564" s="3" t="s">
        <v>1890</v>
      </c>
      <c r="B1564" s="3" t="s">
        <v>1976</v>
      </c>
      <c r="C1564" s="4" t="str">
        <f>HYPERLINK("http://www.rncp.cncp.gouv.fr/grand-public/visualisationFiche?format=fr&amp;fiche=1056","1056")</f>
        <v>1056</v>
      </c>
      <c r="D1564" s="4" t="str">
        <f>HYPERLINK("http://www.intercariforef.org/formations/certification-46610.html","46610")</f>
        <v>46610</v>
      </c>
      <c r="E1564" s="5">
        <v>2266</v>
      </c>
      <c r="F1564" s="5" t="s">
        <v>10</v>
      </c>
      <c r="G1564" s="5" t="s">
        <v>11</v>
      </c>
      <c r="H1564" s="3" t="s">
        <v>81</v>
      </c>
    </row>
    <row r="1565" spans="1:8" ht="13.8" x14ac:dyDescent="0.25">
      <c r="A1565" s="3" t="s">
        <v>1890</v>
      </c>
      <c r="B1565" s="3" t="s">
        <v>1977</v>
      </c>
      <c r="C1565" s="4" t="str">
        <f>HYPERLINK("http://www.rncp.cncp.gouv.fr/grand-public/visualisationFiche?format=fr&amp;fiche=1057","1057")</f>
        <v>1057</v>
      </c>
      <c r="D1565" s="4" t="str">
        <f>HYPERLINK("http://www.intercariforef.org/formations/certification-46611.html","46611")</f>
        <v>46611</v>
      </c>
      <c r="E1565" s="5">
        <v>2267</v>
      </c>
      <c r="F1565" s="5" t="s">
        <v>10</v>
      </c>
      <c r="G1565" s="5" t="s">
        <v>11</v>
      </c>
      <c r="H1565" s="3" t="s">
        <v>81</v>
      </c>
    </row>
    <row r="1566" spans="1:8" ht="27.6" x14ac:dyDescent="0.25">
      <c r="A1566" s="3" t="s">
        <v>1890</v>
      </c>
      <c r="B1566" s="3" t="s">
        <v>1978</v>
      </c>
      <c r="C1566" s="4" t="str">
        <f>HYPERLINK("http://www.rncp.cncp.gouv.fr/grand-public/visualisationFiche?format=fr&amp;fiche=1129","1129")</f>
        <v>1129</v>
      </c>
      <c r="D1566" s="4" t="str">
        <f>HYPERLINK("http://www.intercariforef.org/formations/certification-46612.html","46612")</f>
        <v>46612</v>
      </c>
      <c r="E1566" s="5">
        <v>2269</v>
      </c>
      <c r="F1566" s="5" t="s">
        <v>10</v>
      </c>
      <c r="G1566" s="5" t="s">
        <v>11</v>
      </c>
      <c r="H1566" s="3" t="s">
        <v>81</v>
      </c>
    </row>
    <row r="1567" spans="1:8" ht="13.8" x14ac:dyDescent="0.25">
      <c r="A1567" s="3" t="s">
        <v>1890</v>
      </c>
      <c r="B1567" s="3" t="s">
        <v>1979</v>
      </c>
      <c r="C1567" s="4" t="str">
        <f>HYPERLINK("http://www.rncp.cncp.gouv.fr/grand-public/visualisationFiche?format=fr&amp;fiche=7360","7360")</f>
        <v>7360</v>
      </c>
      <c r="D1567" s="4" t="str">
        <f>HYPERLINK("http://www.intercariforef.org/formations/certification-63195.html","63195")</f>
        <v>63195</v>
      </c>
      <c r="E1567" s="5">
        <v>144368</v>
      </c>
      <c r="F1567" s="5" t="s">
        <v>10</v>
      </c>
      <c r="G1567" s="5" t="s">
        <v>11</v>
      </c>
      <c r="H1567" s="3" t="s">
        <v>81</v>
      </c>
    </row>
    <row r="1568" spans="1:8" ht="13.8" x14ac:dyDescent="0.25">
      <c r="A1568" s="3" t="s">
        <v>1890</v>
      </c>
      <c r="B1568" s="3" t="s">
        <v>1980</v>
      </c>
      <c r="C1568" s="4" t="str">
        <f>HYPERLINK("http://www.rncp.cncp.gouv.fr/grand-public/visualisationFiche?format=fr&amp;fiche=1060","1060")</f>
        <v>1060</v>
      </c>
      <c r="D1568" s="4" t="str">
        <f>HYPERLINK("http://www.intercariforef.org/formations/certification-18933.html","18933")</f>
        <v>18933</v>
      </c>
      <c r="E1568" s="5">
        <v>2272</v>
      </c>
      <c r="F1568" s="5" t="s">
        <v>10</v>
      </c>
      <c r="G1568" s="5" t="s">
        <v>11</v>
      </c>
      <c r="H1568" s="3" t="s">
        <v>81</v>
      </c>
    </row>
    <row r="1569" spans="1:8" ht="13.8" x14ac:dyDescent="0.25">
      <c r="A1569" s="3" t="s">
        <v>1890</v>
      </c>
      <c r="B1569" s="3" t="s">
        <v>1981</v>
      </c>
      <c r="C1569" s="4" t="str">
        <f>HYPERLINK("http://www.rncp.cncp.gouv.fr/grand-public/visualisationFiche?format=fr&amp;fiche=1059","1059")</f>
        <v>1059</v>
      </c>
      <c r="D1569" s="4" t="str">
        <f>HYPERLINK("http://www.intercariforef.org/formations/certification-18932.html","18932")</f>
        <v>18932</v>
      </c>
      <c r="E1569" s="5">
        <v>2270</v>
      </c>
      <c r="F1569" s="5" t="s">
        <v>10</v>
      </c>
      <c r="G1569" s="5" t="s">
        <v>11</v>
      </c>
      <c r="H1569" s="3" t="s">
        <v>81</v>
      </c>
    </row>
    <row r="1570" spans="1:8" ht="13.8" x14ac:dyDescent="0.25">
      <c r="A1570" s="3" t="s">
        <v>1890</v>
      </c>
      <c r="B1570" s="3" t="s">
        <v>1982</v>
      </c>
      <c r="C1570" s="4" t="str">
        <f>HYPERLINK("http://www.rncp.cncp.gouv.fr/grand-public/visualisationFiche?format=fr&amp;fiche=1061","1061")</f>
        <v>1061</v>
      </c>
      <c r="D1570" s="4" t="str">
        <f>HYPERLINK("http://www.intercariforef.org/formations/certification-18935.html","18935")</f>
        <v>18935</v>
      </c>
      <c r="E1570" s="5">
        <v>2274</v>
      </c>
      <c r="F1570" s="5" t="s">
        <v>10</v>
      </c>
      <c r="G1570" s="5" t="s">
        <v>11</v>
      </c>
      <c r="H1570" s="3" t="s">
        <v>81</v>
      </c>
    </row>
    <row r="1571" spans="1:8" ht="13.8" x14ac:dyDescent="0.25">
      <c r="A1571" s="3" t="s">
        <v>1890</v>
      </c>
      <c r="B1571" s="3" t="s">
        <v>1983</v>
      </c>
      <c r="C1571" s="4" t="str">
        <f>HYPERLINK("http://www.rncp.cncp.gouv.fr/grand-public/visualisationFiche?format=fr&amp;fiche=1062","1062")</f>
        <v>1062</v>
      </c>
      <c r="D1571" s="4" t="str">
        <f>HYPERLINK("http://www.intercariforef.org/formations/certification-18937.html","18937")</f>
        <v>18937</v>
      </c>
      <c r="E1571" s="5">
        <v>2275</v>
      </c>
      <c r="F1571" s="5" t="s">
        <v>10</v>
      </c>
      <c r="G1571" s="5" t="s">
        <v>11</v>
      </c>
      <c r="H1571" s="3" t="s">
        <v>81</v>
      </c>
    </row>
    <row r="1572" spans="1:8" ht="13.8" x14ac:dyDescent="0.25">
      <c r="A1572" s="3" t="s">
        <v>1890</v>
      </c>
      <c r="B1572" s="3" t="s">
        <v>1984</v>
      </c>
      <c r="C1572" s="4" t="str">
        <f>HYPERLINK("http://www.rncp.cncp.gouv.fr/grand-public/visualisationFiche?format=fr&amp;fiche=1064","1064")</f>
        <v>1064</v>
      </c>
      <c r="D1572" s="4" t="str">
        <f>HYPERLINK("http://www.intercariforef.org/formations/certification-18945.html","18945")</f>
        <v>18945</v>
      </c>
      <c r="E1572" s="5">
        <v>144370</v>
      </c>
      <c r="F1572" s="5" t="s">
        <v>10</v>
      </c>
      <c r="G1572" s="5" t="s">
        <v>11</v>
      </c>
      <c r="H1572" s="3" t="s">
        <v>81</v>
      </c>
    </row>
    <row r="1573" spans="1:8" ht="13.8" x14ac:dyDescent="0.25">
      <c r="A1573" s="3" t="s">
        <v>1890</v>
      </c>
      <c r="B1573" s="3" t="s">
        <v>1985</v>
      </c>
      <c r="C1573" s="4" t="str">
        <f>HYPERLINK("http://www.rncp.cncp.gouv.fr/grand-public/visualisationFiche?format=fr&amp;fiche=1063","1063")</f>
        <v>1063</v>
      </c>
      <c r="D1573" s="4" t="str">
        <f>HYPERLINK("http://www.intercariforef.org/formations/certification-18946.html","18946")</f>
        <v>18946</v>
      </c>
      <c r="E1573" s="5">
        <v>144369</v>
      </c>
      <c r="F1573" s="5" t="s">
        <v>10</v>
      </c>
      <c r="G1573" s="5" t="s">
        <v>11</v>
      </c>
      <c r="H1573" s="3" t="s">
        <v>81</v>
      </c>
    </row>
    <row r="1574" spans="1:8" ht="13.8" x14ac:dyDescent="0.25">
      <c r="A1574" s="3" t="s">
        <v>1890</v>
      </c>
      <c r="B1574" s="3" t="s">
        <v>1986</v>
      </c>
      <c r="C1574" s="4" t="str">
        <f>HYPERLINK("http://www.rncp.cncp.gouv.fr/grand-public/visualisationFiche?format=fr&amp;fiche=1065","1065")</f>
        <v>1065</v>
      </c>
      <c r="D1574" s="4" t="str">
        <f>HYPERLINK("http://www.intercariforef.org/formations/certification-18947.html","18947")</f>
        <v>18947</v>
      </c>
      <c r="E1574" s="5">
        <v>2276</v>
      </c>
      <c r="F1574" s="5" t="s">
        <v>10</v>
      </c>
      <c r="G1574" s="5" t="s">
        <v>11</v>
      </c>
      <c r="H1574" s="3" t="s">
        <v>81</v>
      </c>
    </row>
    <row r="1575" spans="1:8" ht="13.8" x14ac:dyDescent="0.25">
      <c r="A1575" s="3" t="s">
        <v>1890</v>
      </c>
      <c r="B1575" s="3" t="s">
        <v>1987</v>
      </c>
      <c r="C1575" s="4" t="str">
        <f>HYPERLINK("http://www.rncp.cncp.gouv.fr/grand-public/visualisationFiche?format=fr&amp;fiche=4103","4103")</f>
        <v>4103</v>
      </c>
      <c r="D1575" s="4" t="str">
        <f>HYPERLINK("http://www.intercariforef.org/formations/certification-52740.html","52740")</f>
        <v>52740</v>
      </c>
      <c r="E1575" s="5">
        <v>2277</v>
      </c>
      <c r="F1575" s="5" t="s">
        <v>10</v>
      </c>
      <c r="G1575" s="5" t="s">
        <v>11</v>
      </c>
      <c r="H1575" s="3" t="s">
        <v>81</v>
      </c>
    </row>
    <row r="1576" spans="1:8" ht="13.8" x14ac:dyDescent="0.25">
      <c r="A1576" s="3" t="s">
        <v>1890</v>
      </c>
      <c r="B1576" s="3" t="s">
        <v>1988</v>
      </c>
      <c r="C1576" s="4" t="str">
        <f>HYPERLINK("http://www.rncp.cncp.gouv.fr/grand-public/visualisationFiche?format=fr&amp;fiche=4587","4587")</f>
        <v>4587</v>
      </c>
      <c r="D1576" s="4" t="str">
        <f>HYPERLINK("http://www.intercariforef.org/formations/certification-52829.html","52829")</f>
        <v>52829</v>
      </c>
      <c r="E1576" s="5">
        <v>2235</v>
      </c>
      <c r="F1576" s="5" t="s">
        <v>10</v>
      </c>
      <c r="G1576" s="5" t="s">
        <v>11</v>
      </c>
      <c r="H1576" s="3" t="s">
        <v>81</v>
      </c>
    </row>
    <row r="1577" spans="1:8" ht="13.8" x14ac:dyDescent="0.25">
      <c r="A1577" s="3" t="s">
        <v>1890</v>
      </c>
      <c r="B1577" s="3" t="s">
        <v>1989</v>
      </c>
      <c r="C1577" s="4" t="str">
        <f>HYPERLINK("http://www.rncp.cncp.gouv.fr/grand-public/visualisationFiche?format=fr&amp;fiche=855","855")</f>
        <v>855</v>
      </c>
      <c r="D1577" s="4" t="str">
        <f>HYPERLINK("http://www.intercariforef.org/formations/certification-18978.html","18978")</f>
        <v>18978</v>
      </c>
      <c r="E1577" s="5">
        <v>2281</v>
      </c>
      <c r="F1577" s="5" t="s">
        <v>10</v>
      </c>
      <c r="G1577" s="5" t="s">
        <v>11</v>
      </c>
      <c r="H1577" s="3" t="s">
        <v>81</v>
      </c>
    </row>
    <row r="1578" spans="1:8" ht="13.8" x14ac:dyDescent="0.25">
      <c r="A1578" s="3" t="s">
        <v>1890</v>
      </c>
      <c r="B1578" s="3" t="s">
        <v>1990</v>
      </c>
      <c r="C1578" s="4" t="str">
        <f>HYPERLINK("http://www.rncp.cncp.gouv.fr/grand-public/visualisationFiche?format=fr&amp;fiche=20684","20684")</f>
        <v>20684</v>
      </c>
      <c r="D1578" s="4" t="str">
        <f>HYPERLINK("http://www.intercariforef.org/formations/certification-82779.html","82779")</f>
        <v>82779</v>
      </c>
      <c r="E1578" s="5">
        <v>144372</v>
      </c>
      <c r="F1578" s="5" t="s">
        <v>10</v>
      </c>
      <c r="G1578" s="5" t="s">
        <v>11</v>
      </c>
      <c r="H1578" s="3" t="s">
        <v>81</v>
      </c>
    </row>
    <row r="1579" spans="1:8" ht="13.8" x14ac:dyDescent="0.25">
      <c r="A1579" s="3" t="s">
        <v>1890</v>
      </c>
      <c r="B1579" s="3" t="s">
        <v>1991</v>
      </c>
      <c r="C1579" s="4" t="str">
        <f>HYPERLINK("http://www.rncp.cncp.gouv.fr/grand-public/visualisationFiche?format=fr&amp;fiche=20684","20684")</f>
        <v>20684</v>
      </c>
      <c r="D1579" s="4" t="str">
        <f>HYPERLINK("http://www.intercariforef.org/formations/certification-82784.html","82784")</f>
        <v>82784</v>
      </c>
      <c r="E1579" s="5">
        <v>144363</v>
      </c>
      <c r="F1579" s="5" t="s">
        <v>10</v>
      </c>
      <c r="G1579" s="5" t="s">
        <v>11</v>
      </c>
      <c r="H1579" s="3" t="s">
        <v>81</v>
      </c>
    </row>
    <row r="1580" spans="1:8" ht="13.8" x14ac:dyDescent="0.25">
      <c r="A1580" s="3" t="s">
        <v>1890</v>
      </c>
      <c r="B1580" s="3" t="s">
        <v>1992</v>
      </c>
      <c r="C1580" s="4" t="str">
        <f>HYPERLINK("http://www.rncp.cncp.gouv.fr/grand-public/visualisationFiche?format=fr&amp;fiche=20684","20684")</f>
        <v>20684</v>
      </c>
      <c r="D1580" s="4" t="str">
        <f>HYPERLINK("http://www.intercariforef.org/formations/certification-82785.html","82785")</f>
        <v>82785</v>
      </c>
      <c r="E1580" s="5">
        <v>144371</v>
      </c>
      <c r="F1580" s="5" t="s">
        <v>10</v>
      </c>
      <c r="G1580" s="5" t="s">
        <v>11</v>
      </c>
      <c r="H1580" s="3" t="s">
        <v>81</v>
      </c>
    </row>
    <row r="1581" spans="1:8" ht="13.8" x14ac:dyDescent="0.25">
      <c r="A1581" s="3" t="s">
        <v>1890</v>
      </c>
      <c r="B1581" s="3" t="s">
        <v>1993</v>
      </c>
      <c r="C1581" s="4" t="str">
        <f>HYPERLINK("http://www.rncp.cncp.gouv.fr/grand-public/visualisationFiche?format=fr&amp;fiche=1161","1161")</f>
        <v>1161</v>
      </c>
      <c r="D1581" s="4" t="str">
        <f>HYPERLINK("http://www.intercariforef.org/formations/certification-18984.html","18984")</f>
        <v>18984</v>
      </c>
      <c r="E1581" s="5">
        <v>2283</v>
      </c>
      <c r="F1581" s="5" t="s">
        <v>10</v>
      </c>
      <c r="G1581" s="5" t="s">
        <v>11</v>
      </c>
      <c r="H1581" s="3" t="s">
        <v>81</v>
      </c>
    </row>
    <row r="1582" spans="1:8" ht="13.8" x14ac:dyDescent="0.25">
      <c r="A1582" s="3" t="s">
        <v>1890</v>
      </c>
      <c r="B1582" s="3" t="s">
        <v>1994</v>
      </c>
      <c r="C1582" s="4" t="str">
        <f>HYPERLINK("http://www.rncp.cncp.gouv.fr/grand-public/visualisationFiche?format=fr&amp;fiche=4498","4498")</f>
        <v>4498</v>
      </c>
      <c r="D1582" s="4" t="str">
        <f>HYPERLINK("http://www.intercariforef.org/formations/certification-31987.html","31987")</f>
        <v>31987</v>
      </c>
      <c r="E1582" s="5">
        <v>2284</v>
      </c>
      <c r="F1582" s="5" t="s">
        <v>10</v>
      </c>
      <c r="G1582" s="5" t="s">
        <v>11</v>
      </c>
      <c r="H1582" s="3" t="s">
        <v>81</v>
      </c>
    </row>
    <row r="1583" spans="1:8" ht="13.8" x14ac:dyDescent="0.25">
      <c r="A1583" s="3" t="s">
        <v>1890</v>
      </c>
      <c r="B1583" s="3" t="s">
        <v>1995</v>
      </c>
      <c r="C1583" s="4" t="str">
        <f>HYPERLINK("http://www.rncp.cncp.gouv.fr/grand-public/visualisationFiche?format=fr&amp;fiche=462","462")</f>
        <v>462</v>
      </c>
      <c r="D1583" s="4" t="str">
        <f>HYPERLINK("http://www.intercariforef.org/formations/certification-18990.html","18990")</f>
        <v>18990</v>
      </c>
      <c r="E1583" s="5">
        <v>2285</v>
      </c>
      <c r="F1583" s="5" t="s">
        <v>10</v>
      </c>
      <c r="G1583" s="5" t="s">
        <v>11</v>
      </c>
      <c r="H1583" s="3" t="s">
        <v>81</v>
      </c>
    </row>
    <row r="1584" spans="1:8" ht="13.8" x14ac:dyDescent="0.25">
      <c r="A1584" s="3" t="s">
        <v>1890</v>
      </c>
      <c r="B1584" s="3" t="s">
        <v>1996</v>
      </c>
      <c r="C1584" s="4" t="str">
        <f>HYPERLINK("http://www.rncp.cncp.gouv.fr/grand-public/visualisationFiche?format=fr&amp;fiche=1071","1071")</f>
        <v>1071</v>
      </c>
      <c r="D1584" s="4" t="str">
        <f>HYPERLINK("http://www.intercariforef.org/formations/certification-77194.html","77194")</f>
        <v>77194</v>
      </c>
      <c r="E1584" s="5">
        <v>131926</v>
      </c>
      <c r="F1584" s="5" t="s">
        <v>10</v>
      </c>
      <c r="G1584" s="5" t="s">
        <v>11</v>
      </c>
      <c r="H1584" s="3" t="s">
        <v>81</v>
      </c>
    </row>
    <row r="1585" spans="1:8" ht="13.8" x14ac:dyDescent="0.25">
      <c r="A1585" s="3" t="s">
        <v>1890</v>
      </c>
      <c r="B1585" s="3" t="s">
        <v>1997</v>
      </c>
      <c r="C1585" s="4" t="str">
        <f>HYPERLINK("http://www.rncp.cncp.gouv.fr/grand-public/visualisationFiche?format=fr&amp;fiche=20689","20689")</f>
        <v>20689</v>
      </c>
      <c r="D1585" s="4" t="str">
        <f>HYPERLINK("http://www.intercariforef.org/formations/certification-81472.html","81472")</f>
        <v>81472</v>
      </c>
      <c r="E1585" s="5">
        <v>130986</v>
      </c>
      <c r="F1585" s="5" t="s">
        <v>10</v>
      </c>
      <c r="G1585" s="5" t="s">
        <v>11</v>
      </c>
      <c r="H1585" s="3" t="s">
        <v>81</v>
      </c>
    </row>
    <row r="1586" spans="1:8" ht="13.8" x14ac:dyDescent="0.25">
      <c r="A1586" s="3" t="s">
        <v>1890</v>
      </c>
      <c r="B1586" s="3" t="s">
        <v>1998</v>
      </c>
      <c r="C1586" s="4" t="str">
        <f>HYPERLINK("http://www.rncp.cncp.gouv.fr/grand-public/visualisationFiche?format=fr&amp;fiche=20696","20696")</f>
        <v>20696</v>
      </c>
      <c r="D1586" s="4" t="str">
        <f>HYPERLINK("http://www.intercariforef.org/formations/certification-81473.html","81473")</f>
        <v>81473</v>
      </c>
      <c r="E1586" s="5">
        <v>130989</v>
      </c>
      <c r="F1586" s="5" t="s">
        <v>10</v>
      </c>
      <c r="G1586" s="5" t="s">
        <v>11</v>
      </c>
      <c r="H1586" s="3" t="s">
        <v>81</v>
      </c>
    </row>
    <row r="1587" spans="1:8" ht="13.8" x14ac:dyDescent="0.25">
      <c r="A1587" s="3" t="s">
        <v>1890</v>
      </c>
      <c r="B1587" s="3" t="s">
        <v>1999</v>
      </c>
      <c r="C1587" s="4" t="str">
        <f>HYPERLINK("http://www.rncp.cncp.gouv.fr/grand-public/visualisationFiche?format=fr&amp;fiche=20682","20682")</f>
        <v>20682</v>
      </c>
      <c r="D1587" s="4" t="str">
        <f>HYPERLINK("http://www.intercariforef.org/formations/certification-81474.html","81474")</f>
        <v>81474</v>
      </c>
      <c r="E1587" s="5">
        <v>130990</v>
      </c>
      <c r="F1587" s="5" t="s">
        <v>10</v>
      </c>
      <c r="G1587" s="5" t="s">
        <v>11</v>
      </c>
      <c r="H1587" s="3" t="s">
        <v>81</v>
      </c>
    </row>
    <row r="1588" spans="1:8" ht="13.8" x14ac:dyDescent="0.25">
      <c r="A1588" s="3" t="s">
        <v>1890</v>
      </c>
      <c r="B1588" s="3" t="s">
        <v>2000</v>
      </c>
      <c r="C1588" s="4" t="str">
        <f>HYPERLINK("http://www.rncp.cncp.gouv.fr/grand-public/visualisationFiche?format=fr&amp;fiche=883","883")</f>
        <v>883</v>
      </c>
      <c r="D1588" s="4" t="str">
        <f>HYPERLINK("http://www.intercariforef.org/formations/certification-18996.html","18996")</f>
        <v>18996</v>
      </c>
      <c r="E1588" s="5">
        <v>130988</v>
      </c>
      <c r="F1588" s="5" t="s">
        <v>10</v>
      </c>
      <c r="G1588" s="5" t="s">
        <v>11</v>
      </c>
      <c r="H1588" s="3" t="s">
        <v>81</v>
      </c>
    </row>
    <row r="1589" spans="1:8" ht="27.6" x14ac:dyDescent="0.25">
      <c r="A1589" s="3" t="s">
        <v>1890</v>
      </c>
      <c r="B1589" s="3" t="s">
        <v>2001</v>
      </c>
      <c r="C1589" s="4" t="str">
        <f>HYPERLINK("http://www.rncp.cncp.gouv.fr/grand-public/visualisationFiche?format=fr&amp;fiche=20698","20698")</f>
        <v>20698</v>
      </c>
      <c r="D1589" s="4" t="str">
        <f>HYPERLINK("http://www.intercariforef.org/formations/certification-81475.html","81475")</f>
        <v>81475</v>
      </c>
      <c r="E1589" s="5">
        <v>130987</v>
      </c>
      <c r="F1589" s="5" t="s">
        <v>10</v>
      </c>
      <c r="G1589" s="5" t="s">
        <v>11</v>
      </c>
      <c r="H1589" s="3" t="s">
        <v>81</v>
      </c>
    </row>
    <row r="1590" spans="1:8" ht="13.8" x14ac:dyDescent="0.25">
      <c r="A1590" s="3" t="s">
        <v>1890</v>
      </c>
      <c r="B1590" s="3" t="s">
        <v>2002</v>
      </c>
      <c r="C1590" s="4" t="str">
        <f>HYPERLINK("http://www.rncp.cncp.gouv.fr/grand-public/visualisationFiche?format=fr&amp;fiche=1081","1081")</f>
        <v>1081</v>
      </c>
      <c r="D1590" s="4" t="str">
        <f>HYPERLINK("http://www.intercariforef.org/formations/certification-18998.html","18998")</f>
        <v>18998</v>
      </c>
      <c r="E1590" s="5">
        <v>2286</v>
      </c>
      <c r="F1590" s="5" t="s">
        <v>10</v>
      </c>
      <c r="G1590" s="5" t="s">
        <v>11</v>
      </c>
      <c r="H1590" s="3" t="s">
        <v>81</v>
      </c>
    </row>
    <row r="1591" spans="1:8" ht="13.8" x14ac:dyDescent="0.25">
      <c r="A1591" s="3" t="s">
        <v>1890</v>
      </c>
      <c r="B1591" s="3" t="s">
        <v>2003</v>
      </c>
      <c r="C1591" s="4" t="str">
        <f>HYPERLINK("http://www.rncp.cncp.gouv.fr/grand-public/visualisationFiche?format=fr&amp;fiche=20693","20693")</f>
        <v>20693</v>
      </c>
      <c r="D1591" s="4" t="str">
        <f>HYPERLINK("http://www.intercariforef.org/formations/certification-80278.html","80278")</f>
        <v>80278</v>
      </c>
      <c r="E1591" s="5">
        <v>155010</v>
      </c>
      <c r="F1591" s="5" t="s">
        <v>10</v>
      </c>
      <c r="G1591" s="5" t="s">
        <v>11</v>
      </c>
      <c r="H1591" s="3" t="s">
        <v>71</v>
      </c>
    </row>
    <row r="1592" spans="1:8" ht="13.8" x14ac:dyDescent="0.25">
      <c r="A1592" s="3" t="s">
        <v>1890</v>
      </c>
      <c r="B1592" s="3" t="s">
        <v>2004</v>
      </c>
      <c r="C1592" s="4" t="str">
        <f>HYPERLINK("http://www.rncp.cncp.gouv.fr/grand-public/visualisationFiche?format=fr&amp;fiche=20693","20693")</f>
        <v>20693</v>
      </c>
      <c r="D1592" s="4" t="str">
        <f>HYPERLINK("http://www.intercariforef.org/formations/certification-80279.html","80279")</f>
        <v>80279</v>
      </c>
      <c r="E1592" s="5">
        <v>155011</v>
      </c>
      <c r="F1592" s="5" t="s">
        <v>10</v>
      </c>
      <c r="G1592" s="5" t="s">
        <v>11</v>
      </c>
      <c r="H1592" s="3" t="s">
        <v>71</v>
      </c>
    </row>
    <row r="1593" spans="1:8" ht="13.8" x14ac:dyDescent="0.25">
      <c r="A1593" s="3" t="s">
        <v>1890</v>
      </c>
      <c r="B1593" s="3" t="s">
        <v>2005</v>
      </c>
      <c r="C1593" s="4" t="str">
        <f>HYPERLINK("http://www.rncp.cncp.gouv.fr/grand-public/visualisationFiche?format=fr&amp;fiche=20693","20693")</f>
        <v>20693</v>
      </c>
      <c r="D1593" s="4" t="str">
        <f>HYPERLINK("http://www.intercariforef.org/formations/certification-80280.html","80280")</f>
        <v>80280</v>
      </c>
      <c r="E1593" s="5">
        <v>155012</v>
      </c>
      <c r="F1593" s="5" t="s">
        <v>10</v>
      </c>
      <c r="G1593" s="5" t="s">
        <v>11</v>
      </c>
      <c r="H1593" s="3" t="s">
        <v>71</v>
      </c>
    </row>
    <row r="1594" spans="1:8" ht="13.8" x14ac:dyDescent="0.25">
      <c r="A1594" s="3" t="s">
        <v>1890</v>
      </c>
      <c r="B1594" s="3" t="s">
        <v>2006</v>
      </c>
      <c r="C1594" s="4" t="str">
        <f>HYPERLINK("http://www.rncp.cncp.gouv.fr/grand-public/visualisationFiche?format=fr&amp;fiche=1083","1083")</f>
        <v>1083</v>
      </c>
      <c r="D1594" s="4" t="str">
        <f>HYPERLINK("http://www.intercariforef.org/formations/certification-19003.html","19003")</f>
        <v>19003</v>
      </c>
      <c r="E1594" s="5">
        <v>2288</v>
      </c>
      <c r="F1594" s="5" t="s">
        <v>10</v>
      </c>
      <c r="G1594" s="5" t="s">
        <v>11</v>
      </c>
      <c r="H1594" s="3" t="s">
        <v>81</v>
      </c>
    </row>
    <row r="1595" spans="1:8" ht="13.8" x14ac:dyDescent="0.25">
      <c r="A1595" s="3" t="s">
        <v>1890</v>
      </c>
      <c r="B1595" s="3" t="s">
        <v>2007</v>
      </c>
      <c r="C1595" s="4" t="str">
        <f>HYPERLINK("http://www.rncp.cncp.gouv.fr/grand-public/visualisationFiche?format=fr&amp;fiche=474","474")</f>
        <v>474</v>
      </c>
      <c r="D1595" s="4" t="str">
        <f>HYPERLINK("http://www.intercariforef.org/formations/certification-19004.html","19004")</f>
        <v>19004</v>
      </c>
      <c r="E1595" s="5">
        <v>130991</v>
      </c>
      <c r="F1595" s="5" t="s">
        <v>10</v>
      </c>
      <c r="G1595" s="5" t="s">
        <v>11</v>
      </c>
      <c r="H1595" s="3" t="s">
        <v>81</v>
      </c>
    </row>
    <row r="1596" spans="1:8" ht="13.8" x14ac:dyDescent="0.25">
      <c r="A1596" s="3" t="s">
        <v>1890</v>
      </c>
      <c r="B1596" s="3" t="s">
        <v>2008</v>
      </c>
      <c r="C1596" s="4" t="str">
        <f>HYPERLINK("http://www.rncp.cncp.gouv.fr/grand-public/visualisationFiche?format=fr&amp;fiche=1084","1084")</f>
        <v>1084</v>
      </c>
      <c r="D1596" s="4" t="str">
        <f>HYPERLINK("http://www.intercariforef.org/formations/certification-19005.html","19005")</f>
        <v>19005</v>
      </c>
      <c r="E1596" s="5">
        <v>144373</v>
      </c>
      <c r="F1596" s="5" t="s">
        <v>10</v>
      </c>
      <c r="G1596" s="5" t="s">
        <v>11</v>
      </c>
      <c r="H1596" s="3" t="s">
        <v>81</v>
      </c>
    </row>
    <row r="1597" spans="1:8" ht="13.8" x14ac:dyDescent="0.25">
      <c r="A1597" s="3" t="s">
        <v>1890</v>
      </c>
      <c r="B1597" s="3" t="s">
        <v>2009</v>
      </c>
      <c r="C1597" s="4" t="str">
        <f>HYPERLINK("http://www.rncp.cncp.gouv.fr/grand-public/visualisationFiche?format=fr&amp;fiche=14922","14922")</f>
        <v>14922</v>
      </c>
      <c r="D1597" s="4" t="str">
        <f>HYPERLINK("http://www.intercariforef.org/formations/certification-77615.html","77615")</f>
        <v>77615</v>
      </c>
      <c r="E1597" s="5">
        <v>161330</v>
      </c>
      <c r="F1597" s="5" t="s">
        <v>10</v>
      </c>
      <c r="G1597" s="5" t="s">
        <v>11</v>
      </c>
      <c r="H1597" s="3" t="s">
        <v>81</v>
      </c>
    </row>
    <row r="1598" spans="1:8" ht="13.8" x14ac:dyDescent="0.25">
      <c r="A1598" s="3" t="s">
        <v>1890</v>
      </c>
      <c r="B1598" s="3" t="s">
        <v>2010</v>
      </c>
      <c r="C1598" s="4" t="str">
        <f>HYPERLINK("http://www.rncp.cncp.gouv.fr/grand-public/visualisationFiche?format=fr&amp;fiche=1098","1098")</f>
        <v>1098</v>
      </c>
      <c r="D1598" s="4" t="str">
        <f>HYPERLINK("http://www.intercariforef.org/formations/certification-19042.html","19042")</f>
        <v>19042</v>
      </c>
      <c r="E1598" s="5">
        <v>2289</v>
      </c>
      <c r="F1598" s="5" t="s">
        <v>10</v>
      </c>
      <c r="G1598" s="5" t="s">
        <v>11</v>
      </c>
      <c r="H1598" s="3" t="s">
        <v>81</v>
      </c>
    </row>
    <row r="1599" spans="1:8" ht="13.8" x14ac:dyDescent="0.25">
      <c r="A1599" s="3" t="s">
        <v>1890</v>
      </c>
      <c r="B1599" s="3" t="s">
        <v>2011</v>
      </c>
      <c r="C1599" s="4" t="str">
        <f>HYPERLINK("http://www.rncp.cncp.gouv.fr/grand-public/visualisationFiche?format=fr&amp;fiche=398","398")</f>
        <v>398</v>
      </c>
      <c r="D1599" s="4" t="str">
        <f>HYPERLINK("http://www.intercariforef.org/formations/certification-19045.html","19045")</f>
        <v>19045</v>
      </c>
      <c r="E1599" s="5">
        <v>144364</v>
      </c>
      <c r="F1599" s="5" t="s">
        <v>10</v>
      </c>
      <c r="G1599" s="5" t="s">
        <v>11</v>
      </c>
      <c r="H1599" s="3" t="s">
        <v>81</v>
      </c>
    </row>
    <row r="1600" spans="1:8" ht="13.8" x14ac:dyDescent="0.25">
      <c r="A1600" s="3" t="s">
        <v>1890</v>
      </c>
      <c r="B1600" s="3" t="s">
        <v>2012</v>
      </c>
      <c r="C1600" s="4" t="str">
        <f>HYPERLINK("http://www.rncp.cncp.gouv.fr/grand-public/visualisationFiche?format=fr&amp;fiche=5297","5297")</f>
        <v>5297</v>
      </c>
      <c r="D1600" s="4" t="str">
        <f>HYPERLINK("http://www.intercariforef.org/formations/certification-53410.html","53410")</f>
        <v>53410</v>
      </c>
      <c r="E1600" s="5">
        <v>130992</v>
      </c>
      <c r="F1600" s="5" t="s">
        <v>10</v>
      </c>
      <c r="G1600" s="5" t="s">
        <v>11</v>
      </c>
      <c r="H1600" s="3" t="s">
        <v>81</v>
      </c>
    </row>
    <row r="1601" spans="1:8" ht="27.6" x14ac:dyDescent="0.25">
      <c r="A1601" s="3" t="s">
        <v>1890</v>
      </c>
      <c r="B1601" s="3" t="s">
        <v>2013</v>
      </c>
      <c r="C1601" s="4" t="str">
        <f>HYPERLINK("http://www.rncp.cncp.gouv.fr/grand-public/visualisationFiche?format=fr&amp;fiche=17108","17108")</f>
        <v>17108</v>
      </c>
      <c r="D1601" s="4" t="str">
        <f>HYPERLINK("http://www.intercariforef.org/formations/certification-76575.html","76575")</f>
        <v>76575</v>
      </c>
      <c r="E1601" s="5">
        <v>2290</v>
      </c>
      <c r="F1601" s="5" t="s">
        <v>10</v>
      </c>
      <c r="G1601" s="5" t="s">
        <v>11</v>
      </c>
      <c r="H1601" s="3" t="s">
        <v>81</v>
      </c>
    </row>
    <row r="1602" spans="1:8" ht="27.6" x14ac:dyDescent="0.25">
      <c r="A1602" s="3" t="s">
        <v>1890</v>
      </c>
      <c r="B1602" s="3" t="s">
        <v>2014</v>
      </c>
      <c r="C1602" s="4" t="str">
        <f>HYPERLINK("http://www.rncp.cncp.gouv.fr/grand-public/visualisationFiche?format=fr&amp;fiche=17108","17108")</f>
        <v>17108</v>
      </c>
      <c r="D1602" s="4" t="str">
        <f>HYPERLINK("http://www.intercariforef.org/formations/certification-76576.html","76576")</f>
        <v>76576</v>
      </c>
      <c r="E1602" s="5">
        <v>2291</v>
      </c>
      <c r="F1602" s="5" t="s">
        <v>10</v>
      </c>
      <c r="G1602" s="5" t="s">
        <v>11</v>
      </c>
      <c r="H1602" s="3" t="s">
        <v>81</v>
      </c>
    </row>
    <row r="1603" spans="1:8" ht="13.8" x14ac:dyDescent="0.25">
      <c r="A1603" s="3" t="s">
        <v>1890</v>
      </c>
      <c r="B1603" s="3" t="s">
        <v>2015</v>
      </c>
      <c r="C1603" s="5"/>
      <c r="D1603" s="4" t="str">
        <f>HYPERLINK("http://www.intercariforef.org/formations/certification-19062.html","19062")</f>
        <v>19062</v>
      </c>
      <c r="E1603" s="5">
        <v>2293</v>
      </c>
      <c r="F1603" s="5" t="s">
        <v>10</v>
      </c>
      <c r="G1603" s="5" t="s">
        <v>11</v>
      </c>
      <c r="H1603" s="3" t="s">
        <v>81</v>
      </c>
    </row>
    <row r="1604" spans="1:8" ht="13.8" x14ac:dyDescent="0.25">
      <c r="A1604" s="3" t="s">
        <v>1890</v>
      </c>
      <c r="B1604" s="3" t="s">
        <v>2016</v>
      </c>
      <c r="C1604" s="4" t="str">
        <f>HYPERLINK("http://www.rncp.cncp.gouv.fr/grand-public/visualisationFiche?format=fr&amp;fiche=425","425")</f>
        <v>425</v>
      </c>
      <c r="D1604" s="4" t="str">
        <f>HYPERLINK("http://www.intercariforef.org/formations/certification-19063.html","19063")</f>
        <v>19063</v>
      </c>
      <c r="E1604" s="5">
        <v>2294</v>
      </c>
      <c r="F1604" s="5" t="s">
        <v>10</v>
      </c>
      <c r="G1604" s="5" t="s">
        <v>11</v>
      </c>
      <c r="H1604" s="3" t="s">
        <v>81</v>
      </c>
    </row>
    <row r="1605" spans="1:8" ht="13.8" x14ac:dyDescent="0.25">
      <c r="A1605" s="3" t="s">
        <v>1890</v>
      </c>
      <c r="B1605" s="3" t="s">
        <v>2017</v>
      </c>
      <c r="C1605" s="4" t="str">
        <f>HYPERLINK("http://www.rncp.cncp.gouv.fr/grand-public/visualisationFiche?format=fr&amp;fiche=4617","4617")</f>
        <v>4617</v>
      </c>
      <c r="D1605" s="4" t="str">
        <f>HYPERLINK("http://www.intercariforef.org/formations/certification-55790.html","55790")</f>
        <v>55790</v>
      </c>
      <c r="E1605" s="5">
        <v>133970</v>
      </c>
      <c r="F1605" s="5" t="s">
        <v>10</v>
      </c>
      <c r="G1605" s="5" t="s">
        <v>11</v>
      </c>
      <c r="H1605" s="3" t="s">
        <v>81</v>
      </c>
    </row>
    <row r="1606" spans="1:8" ht="13.8" x14ac:dyDescent="0.25">
      <c r="A1606" s="3" t="s">
        <v>1890</v>
      </c>
      <c r="B1606" s="3" t="s">
        <v>2018</v>
      </c>
      <c r="C1606" s="4" t="str">
        <f>HYPERLINK("http://www.rncp.cncp.gouv.fr/grand-public/visualisationFiche?format=fr&amp;fiche=1019","1019")</f>
        <v>1019</v>
      </c>
      <c r="D1606" s="4" t="str">
        <f>HYPERLINK("http://www.intercariforef.org/formations/certification-81073.html","81073")</f>
        <v>81073</v>
      </c>
      <c r="E1606" s="5">
        <v>2295</v>
      </c>
      <c r="F1606" s="5" t="s">
        <v>10</v>
      </c>
      <c r="G1606" s="5" t="s">
        <v>11</v>
      </c>
      <c r="H1606" s="3" t="s">
        <v>81</v>
      </c>
    </row>
    <row r="1607" spans="1:8" ht="13.8" x14ac:dyDescent="0.25">
      <c r="A1607" s="3" t="s">
        <v>1890</v>
      </c>
      <c r="B1607" s="3" t="s">
        <v>2019</v>
      </c>
      <c r="C1607" s="4" t="str">
        <f>HYPERLINK("http://www.rncp.cncp.gouv.fr/grand-public/visualisationFiche?format=fr&amp;fiche=1105","1105")</f>
        <v>1105</v>
      </c>
      <c r="D1607" s="4" t="str">
        <f>HYPERLINK("http://www.intercariforef.org/formations/certification-19072.html","19072")</f>
        <v>19072</v>
      </c>
      <c r="E1607" s="5">
        <v>2296</v>
      </c>
      <c r="F1607" s="5" t="s">
        <v>10</v>
      </c>
      <c r="G1607" s="5" t="s">
        <v>11</v>
      </c>
      <c r="H1607" s="3" t="s">
        <v>81</v>
      </c>
    </row>
    <row r="1608" spans="1:8" ht="13.8" x14ac:dyDescent="0.25">
      <c r="A1608" s="3" t="s">
        <v>1890</v>
      </c>
      <c r="B1608" s="3" t="s">
        <v>2020</v>
      </c>
      <c r="C1608" s="4" t="str">
        <f>HYPERLINK("http://www.rncp.cncp.gouv.fr/grand-public/visualisationFiche?format=fr&amp;fiche=14892","14892")</f>
        <v>14892</v>
      </c>
      <c r="D1608" s="4" t="str">
        <f>HYPERLINK("http://www.intercariforef.org/formations/certification-77618.html","77618")</f>
        <v>77618</v>
      </c>
      <c r="E1608" s="5">
        <v>2297</v>
      </c>
      <c r="F1608" s="5" t="s">
        <v>10</v>
      </c>
      <c r="G1608" s="5" t="s">
        <v>11</v>
      </c>
      <c r="H1608" s="3" t="s">
        <v>81</v>
      </c>
    </row>
    <row r="1609" spans="1:8" ht="13.8" x14ac:dyDescent="0.25">
      <c r="A1609" s="3" t="s">
        <v>1890</v>
      </c>
      <c r="B1609" s="3" t="s">
        <v>2021</v>
      </c>
      <c r="C1609" s="4" t="str">
        <f>HYPERLINK("http://www.rncp.cncp.gouv.fr/grand-public/visualisationFiche?format=fr&amp;fiche=1186","1186")</f>
        <v>1186</v>
      </c>
      <c r="D1609" s="4" t="str">
        <f>HYPERLINK("http://www.intercariforef.org/formations/certification-19083.html","19083")</f>
        <v>19083</v>
      </c>
      <c r="E1609" s="5">
        <v>2299</v>
      </c>
      <c r="F1609" s="5" t="s">
        <v>10</v>
      </c>
      <c r="G1609" s="5" t="s">
        <v>11</v>
      </c>
      <c r="H1609" s="3" t="s">
        <v>81</v>
      </c>
    </row>
    <row r="1610" spans="1:8" ht="13.8" x14ac:dyDescent="0.25">
      <c r="A1610" s="3" t="s">
        <v>1890</v>
      </c>
      <c r="B1610" s="3" t="s">
        <v>2022</v>
      </c>
      <c r="C1610" s="4" t="str">
        <f>HYPERLINK("http://www.rncp.cncp.gouv.fr/grand-public/visualisationFiche?format=fr&amp;fiche=1185","1185")</f>
        <v>1185</v>
      </c>
      <c r="D1610" s="4" t="str">
        <f>HYPERLINK("http://www.intercariforef.org/formations/certification-19086.html","19086")</f>
        <v>19086</v>
      </c>
      <c r="E1610" s="5">
        <v>2298</v>
      </c>
      <c r="F1610" s="5" t="s">
        <v>10</v>
      </c>
      <c r="G1610" s="5" t="s">
        <v>11</v>
      </c>
      <c r="H1610" s="3" t="s">
        <v>81</v>
      </c>
    </row>
    <row r="1611" spans="1:8" ht="13.8" x14ac:dyDescent="0.25">
      <c r="A1611" s="3" t="s">
        <v>1890</v>
      </c>
      <c r="B1611" s="3" t="s">
        <v>2023</v>
      </c>
      <c r="C1611" s="4" t="str">
        <f>HYPERLINK("http://www.rncp.cncp.gouv.fr/grand-public/visualisationFiche?format=fr&amp;fiche=12798","12798")</f>
        <v>12798</v>
      </c>
      <c r="D1611" s="4" t="str">
        <f>HYPERLINK("http://www.intercariforef.org/formations/certification-74872.html","74872")</f>
        <v>74872</v>
      </c>
      <c r="E1611" s="5">
        <v>2300</v>
      </c>
      <c r="F1611" s="5" t="s">
        <v>10</v>
      </c>
      <c r="G1611" s="5" t="s">
        <v>11</v>
      </c>
      <c r="H1611" s="3" t="s">
        <v>81</v>
      </c>
    </row>
    <row r="1612" spans="1:8" ht="13.8" x14ac:dyDescent="0.25">
      <c r="A1612" s="3" t="s">
        <v>1890</v>
      </c>
      <c r="B1612" s="3" t="s">
        <v>2024</v>
      </c>
      <c r="C1612" s="4" t="str">
        <f>HYPERLINK("http://www.rncp.cncp.gouv.fr/grand-public/visualisationFiche?format=fr&amp;fiche=1109","1109")</f>
        <v>1109</v>
      </c>
      <c r="D1612" s="4" t="str">
        <f>HYPERLINK("http://www.intercariforef.org/formations/certification-75787.html","75787")</f>
        <v>75787</v>
      </c>
      <c r="E1612" s="5">
        <v>2301</v>
      </c>
      <c r="F1612" s="5" t="s">
        <v>10</v>
      </c>
      <c r="G1612" s="5" t="s">
        <v>11</v>
      </c>
      <c r="H1612" s="3" t="s">
        <v>81</v>
      </c>
    </row>
    <row r="1613" spans="1:8" ht="13.8" x14ac:dyDescent="0.25">
      <c r="A1613" s="3" t="s">
        <v>1890</v>
      </c>
      <c r="B1613" s="3" t="s">
        <v>2025</v>
      </c>
      <c r="C1613" s="4" t="str">
        <f>HYPERLINK("http://www.rncp.cncp.gouv.fr/grand-public/visualisationFiche?format=fr&amp;fiche=15611","15611")</f>
        <v>15611</v>
      </c>
      <c r="D1613" s="4" t="str">
        <f>HYPERLINK("http://www.intercariforef.org/formations/certification-69319.html","69319")</f>
        <v>69319</v>
      </c>
      <c r="E1613" s="5">
        <v>2302</v>
      </c>
      <c r="F1613" s="5" t="s">
        <v>10</v>
      </c>
      <c r="G1613" s="5" t="s">
        <v>11</v>
      </c>
      <c r="H1613" s="3" t="s">
        <v>2026</v>
      </c>
    </row>
    <row r="1614" spans="1:8" ht="13.8" x14ac:dyDescent="0.25">
      <c r="A1614" s="3" t="s">
        <v>1890</v>
      </c>
      <c r="B1614" s="3" t="s">
        <v>2027</v>
      </c>
      <c r="C1614" s="4" t="str">
        <f>HYPERLINK("http://www.rncp.cncp.gouv.fr/grand-public/visualisationFiche?format=fr&amp;fiche=17218","17218")</f>
        <v>17218</v>
      </c>
      <c r="D1614" s="4" t="str">
        <f>HYPERLINK("http://www.intercariforef.org/formations/certification-81408.html","81408")</f>
        <v>81408</v>
      </c>
      <c r="E1614" s="5">
        <v>2303</v>
      </c>
      <c r="F1614" s="5" t="s">
        <v>10</v>
      </c>
      <c r="G1614" s="5" t="s">
        <v>11</v>
      </c>
      <c r="H1614" s="3" t="s">
        <v>2026</v>
      </c>
    </row>
    <row r="1615" spans="1:8" ht="13.8" x14ac:dyDescent="0.25">
      <c r="A1615" s="3" t="s">
        <v>1890</v>
      </c>
      <c r="B1615" s="3" t="s">
        <v>2028</v>
      </c>
      <c r="C1615" s="4" t="str">
        <f>HYPERLINK("http://www.rncp.cncp.gouv.fr/grand-public/visualisationFiche?format=fr&amp;fiche=344","344")</f>
        <v>344</v>
      </c>
      <c r="D1615" s="4" t="str">
        <f>HYPERLINK("http://www.intercariforef.org/formations/certification-46625.html","46625")</f>
        <v>46625</v>
      </c>
      <c r="E1615" s="5">
        <v>16437</v>
      </c>
      <c r="F1615" s="5" t="s">
        <v>10</v>
      </c>
      <c r="G1615" s="5" t="s">
        <v>11</v>
      </c>
      <c r="H1615" s="3" t="s">
        <v>2026</v>
      </c>
    </row>
    <row r="1616" spans="1:8" ht="13.8" x14ac:dyDescent="0.25">
      <c r="A1616" s="3" t="s">
        <v>1890</v>
      </c>
      <c r="B1616" s="3" t="s">
        <v>2029</v>
      </c>
      <c r="C1616" s="4" t="str">
        <f>HYPERLINK("http://www.rncp.cncp.gouv.fr/grand-public/visualisationFiche?format=fr&amp;fiche=15516","15516")</f>
        <v>15516</v>
      </c>
      <c r="D1616" s="4" t="str">
        <f>HYPERLINK("http://www.intercariforef.org/formations/certification-64390.html","64390")</f>
        <v>64390</v>
      </c>
      <c r="E1616" s="5">
        <v>144374</v>
      </c>
      <c r="F1616" s="5" t="s">
        <v>10</v>
      </c>
      <c r="G1616" s="5" t="s">
        <v>11</v>
      </c>
      <c r="H1616" s="3" t="s">
        <v>2026</v>
      </c>
    </row>
    <row r="1617" spans="1:8" ht="13.8" x14ac:dyDescent="0.25">
      <c r="A1617" s="3" t="s">
        <v>1890</v>
      </c>
      <c r="B1617" s="3" t="s">
        <v>2030</v>
      </c>
      <c r="C1617" s="4" t="str">
        <f>HYPERLINK("http://www.rncp.cncp.gouv.fr/grand-public/visualisationFiche?format=fr&amp;fiche=17215","17215")</f>
        <v>17215</v>
      </c>
      <c r="D1617" s="4" t="str">
        <f>HYPERLINK("http://www.intercariforef.org/formations/certification-81409.html","81409")</f>
        <v>81409</v>
      </c>
      <c r="E1617" s="5">
        <v>2304</v>
      </c>
      <c r="F1617" s="5" t="s">
        <v>10</v>
      </c>
      <c r="G1617" s="5" t="s">
        <v>11</v>
      </c>
      <c r="H1617" s="3" t="s">
        <v>2026</v>
      </c>
    </row>
    <row r="1618" spans="1:8" ht="13.8" x14ac:dyDescent="0.25">
      <c r="A1618" s="3" t="s">
        <v>1890</v>
      </c>
      <c r="B1618" s="3" t="s">
        <v>2031</v>
      </c>
      <c r="C1618" s="4" t="str">
        <f>HYPERLINK("http://www.rncp.cncp.gouv.fr/grand-public/visualisationFiche?format=fr&amp;fiche=24442","24442")</f>
        <v>24442</v>
      </c>
      <c r="D1618" s="4" t="str">
        <f>HYPERLINK("http://www.intercariforef.org/formations/certification-83145.html","83145")</f>
        <v>83145</v>
      </c>
      <c r="E1618" s="5">
        <v>144376</v>
      </c>
      <c r="F1618" s="5" t="s">
        <v>10</v>
      </c>
      <c r="G1618" s="5" t="s">
        <v>11</v>
      </c>
      <c r="H1618" s="3" t="s">
        <v>2026</v>
      </c>
    </row>
    <row r="1619" spans="1:8" ht="13.8" x14ac:dyDescent="0.25">
      <c r="A1619" s="3" t="s">
        <v>1890</v>
      </c>
      <c r="B1619" s="3" t="s">
        <v>2032</v>
      </c>
      <c r="C1619" s="4" t="str">
        <f>HYPERLINK("http://www.rncp.cncp.gouv.fr/grand-public/visualisationFiche?format=fr&amp;fiche=347","347")</f>
        <v>347</v>
      </c>
      <c r="D1619" s="4" t="str">
        <f>HYPERLINK("http://www.intercariforef.org/formations/certification-19133.html","19133")</f>
        <v>19133</v>
      </c>
      <c r="E1619" s="5">
        <v>144375</v>
      </c>
      <c r="F1619" s="5" t="s">
        <v>10</v>
      </c>
      <c r="G1619" s="5" t="s">
        <v>11</v>
      </c>
      <c r="H1619" s="3" t="s">
        <v>2026</v>
      </c>
    </row>
    <row r="1620" spans="1:8" ht="13.8" x14ac:dyDescent="0.25">
      <c r="A1620" s="3" t="s">
        <v>1890</v>
      </c>
      <c r="B1620" s="3" t="s">
        <v>2033</v>
      </c>
      <c r="C1620" s="4" t="str">
        <f>HYPERLINK("http://www.rncp.cncp.gouv.fr/grand-public/visualisationFiche?format=fr&amp;fiche=15668","15668")</f>
        <v>15668</v>
      </c>
      <c r="D1620" s="4" t="str">
        <f>HYPERLINK("http://www.intercariforef.org/formations/certification-78106.html","78106")</f>
        <v>78106</v>
      </c>
      <c r="E1620" s="5">
        <v>155015</v>
      </c>
      <c r="F1620" s="5" t="s">
        <v>10</v>
      </c>
      <c r="G1620" s="5" t="s">
        <v>11</v>
      </c>
      <c r="H1620" s="3" t="s">
        <v>2026</v>
      </c>
    </row>
    <row r="1621" spans="1:8" ht="13.8" x14ac:dyDescent="0.25">
      <c r="A1621" s="3" t="s">
        <v>1890</v>
      </c>
      <c r="B1621" s="3" t="s">
        <v>2034</v>
      </c>
      <c r="C1621" s="4" t="str">
        <f>HYPERLINK("http://www.rncp.cncp.gouv.fr/grand-public/visualisationFiche?format=fr&amp;fiche=15669","15669")</f>
        <v>15669</v>
      </c>
      <c r="D1621" s="4" t="str">
        <f>HYPERLINK("http://www.intercariforef.org/formations/certification-78104.html","78104")</f>
        <v>78104</v>
      </c>
      <c r="E1621" s="5">
        <v>2305</v>
      </c>
      <c r="F1621" s="5" t="s">
        <v>10</v>
      </c>
      <c r="G1621" s="5" t="s">
        <v>11</v>
      </c>
      <c r="H1621" s="3" t="s">
        <v>2026</v>
      </c>
    </row>
    <row r="1622" spans="1:8" ht="13.8" x14ac:dyDescent="0.25">
      <c r="A1622" s="3" t="s">
        <v>1890</v>
      </c>
      <c r="B1622" s="3" t="s">
        <v>2035</v>
      </c>
      <c r="C1622" s="4" t="str">
        <f>HYPERLINK("http://www.rncp.cncp.gouv.fr/grand-public/visualisationFiche?format=fr&amp;fiche=15672","15672")</f>
        <v>15672</v>
      </c>
      <c r="D1622" s="4" t="str">
        <f>HYPERLINK("http://www.intercariforef.org/formations/certification-75943.html","75943")</f>
        <v>75943</v>
      </c>
      <c r="E1622" s="5">
        <v>144377</v>
      </c>
      <c r="F1622" s="5" t="s">
        <v>10</v>
      </c>
      <c r="G1622" s="5" t="s">
        <v>11</v>
      </c>
      <c r="H1622" s="3" t="s">
        <v>2026</v>
      </c>
    </row>
    <row r="1623" spans="1:8" ht="13.8" x14ac:dyDescent="0.25">
      <c r="A1623" s="3" t="s">
        <v>1890</v>
      </c>
      <c r="B1623" s="3" t="s">
        <v>2036</v>
      </c>
      <c r="C1623" s="4" t="str">
        <f>HYPERLINK("http://www.rncp.cncp.gouv.fr/grand-public/visualisationFiche?format=fr&amp;fiche=15674","15674")</f>
        <v>15674</v>
      </c>
      <c r="D1623" s="4" t="str">
        <f>HYPERLINK("http://www.intercariforef.org/formations/certification-75944.html","75944")</f>
        <v>75944</v>
      </c>
      <c r="E1623" s="5">
        <v>144378</v>
      </c>
      <c r="F1623" s="5" t="s">
        <v>10</v>
      </c>
      <c r="G1623" s="5" t="s">
        <v>11</v>
      </c>
      <c r="H1623" s="3" t="s">
        <v>2026</v>
      </c>
    </row>
    <row r="1624" spans="1:8" ht="13.8" x14ac:dyDescent="0.25">
      <c r="A1624" s="3" t="s">
        <v>1890</v>
      </c>
      <c r="B1624" s="3" t="s">
        <v>2037</v>
      </c>
      <c r="C1624" s="4" t="str">
        <f>HYPERLINK("http://www.rncp.cncp.gouv.fr/grand-public/visualisationFiche?format=fr&amp;fiche=15673","15673")</f>
        <v>15673</v>
      </c>
      <c r="D1624" s="4" t="str">
        <f>HYPERLINK("http://www.intercariforef.org/formations/certification-78105.html","78105")</f>
        <v>78105</v>
      </c>
      <c r="E1624" s="5">
        <v>144379</v>
      </c>
      <c r="F1624" s="5" t="s">
        <v>10</v>
      </c>
      <c r="G1624" s="5" t="s">
        <v>11</v>
      </c>
      <c r="H1624" s="3" t="s">
        <v>2026</v>
      </c>
    </row>
    <row r="1625" spans="1:8" ht="13.8" x14ac:dyDescent="0.25">
      <c r="A1625" s="3" t="s">
        <v>1890</v>
      </c>
      <c r="B1625" s="3" t="s">
        <v>2038</v>
      </c>
      <c r="C1625" s="4" t="str">
        <f>HYPERLINK("http://www.rncp.cncp.gouv.fr/grand-public/visualisationFiche?format=fr&amp;fiche=15613","15613")</f>
        <v>15613</v>
      </c>
      <c r="D1625" s="4" t="str">
        <f>HYPERLINK("http://www.intercariforef.org/formations/certification-69318.html","69318")</f>
        <v>69318</v>
      </c>
      <c r="E1625" s="5">
        <v>2307</v>
      </c>
      <c r="F1625" s="5" t="s">
        <v>10</v>
      </c>
      <c r="G1625" s="5" t="s">
        <v>11</v>
      </c>
      <c r="H1625" s="3" t="s">
        <v>2026</v>
      </c>
    </row>
    <row r="1626" spans="1:8" ht="13.8" x14ac:dyDescent="0.25">
      <c r="A1626" s="3" t="s">
        <v>1890</v>
      </c>
      <c r="B1626" s="3" t="s">
        <v>2039</v>
      </c>
      <c r="C1626" s="4" t="str">
        <f>HYPERLINK("http://www.rncp.cncp.gouv.fr/grand-public/visualisationFiche?format=fr&amp;fiche=15612","15612")</f>
        <v>15612</v>
      </c>
      <c r="D1626" s="4" t="str">
        <f>HYPERLINK("http://www.intercariforef.org/formations/certification-69312.html","69312")</f>
        <v>69312</v>
      </c>
      <c r="E1626" s="5">
        <v>2306</v>
      </c>
      <c r="F1626" s="5" t="s">
        <v>10</v>
      </c>
      <c r="G1626" s="5" t="s">
        <v>11</v>
      </c>
      <c r="H1626" s="3" t="s">
        <v>2026</v>
      </c>
    </row>
    <row r="1627" spans="1:8" ht="13.8" x14ac:dyDescent="0.25">
      <c r="A1627" s="3" t="s">
        <v>1890</v>
      </c>
      <c r="B1627" s="3" t="s">
        <v>2040</v>
      </c>
      <c r="C1627" s="4" t="str">
        <f>HYPERLINK("http://www.rncp.cncp.gouv.fr/grand-public/visualisationFiche?format=fr&amp;fiche=15615","15615")</f>
        <v>15615</v>
      </c>
      <c r="D1627" s="4" t="str">
        <f>HYPERLINK("http://www.intercariforef.org/formations/certification-73432.html","73432")</f>
        <v>73432</v>
      </c>
      <c r="E1627" s="5">
        <v>144380</v>
      </c>
      <c r="F1627" s="5" t="s">
        <v>10</v>
      </c>
      <c r="G1627" s="5" t="s">
        <v>11</v>
      </c>
      <c r="H1627" s="3" t="s">
        <v>2026</v>
      </c>
    </row>
    <row r="1628" spans="1:8" ht="13.8" x14ac:dyDescent="0.25">
      <c r="A1628" s="3" t="s">
        <v>1890</v>
      </c>
      <c r="B1628" s="3" t="s">
        <v>2041</v>
      </c>
      <c r="C1628" s="4" t="str">
        <f>HYPERLINK("http://www.rncp.cncp.gouv.fr/grand-public/visualisationFiche?format=fr&amp;fiche=15615","15615")</f>
        <v>15615</v>
      </c>
      <c r="D1628" s="4" t="str">
        <f>HYPERLINK("http://www.intercariforef.org/formations/certification-73433.html","73433")</f>
        <v>73433</v>
      </c>
      <c r="E1628" s="5">
        <v>144381</v>
      </c>
      <c r="F1628" s="5" t="s">
        <v>10</v>
      </c>
      <c r="G1628" s="5" t="s">
        <v>11</v>
      </c>
      <c r="H1628" s="3" t="s">
        <v>2026</v>
      </c>
    </row>
    <row r="1629" spans="1:8" ht="13.8" x14ac:dyDescent="0.25">
      <c r="A1629" s="3" t="s">
        <v>1890</v>
      </c>
      <c r="B1629" s="3" t="s">
        <v>2042</v>
      </c>
      <c r="C1629" s="4" t="str">
        <f>HYPERLINK("http://www.rncp.cncp.gouv.fr/grand-public/visualisationFiche?format=fr&amp;fiche=15615","15615")</f>
        <v>15615</v>
      </c>
      <c r="D1629" s="4" t="str">
        <f>HYPERLINK("http://www.intercariforef.org/formations/certification-73435.html","73435")</f>
        <v>73435</v>
      </c>
      <c r="E1629" s="5">
        <v>144382</v>
      </c>
      <c r="F1629" s="5" t="s">
        <v>10</v>
      </c>
      <c r="G1629" s="5" t="s">
        <v>11</v>
      </c>
      <c r="H1629" s="3" t="s">
        <v>2026</v>
      </c>
    </row>
    <row r="1630" spans="1:8" ht="13.8" x14ac:dyDescent="0.25">
      <c r="A1630" s="3" t="s">
        <v>1890</v>
      </c>
      <c r="B1630" s="3" t="s">
        <v>2043</v>
      </c>
      <c r="C1630" s="4" t="str">
        <f>HYPERLINK("http://www.rncp.cncp.gouv.fr/grand-public/visualisationFiche?format=fr&amp;fiche=15615","15615")</f>
        <v>15615</v>
      </c>
      <c r="D1630" s="4" t="str">
        <f>HYPERLINK("http://www.intercariforef.org/formations/certification-73436.html","73436")</f>
        <v>73436</v>
      </c>
      <c r="E1630" s="5">
        <v>144383</v>
      </c>
      <c r="F1630" s="5" t="s">
        <v>10</v>
      </c>
      <c r="G1630" s="5" t="s">
        <v>11</v>
      </c>
      <c r="H1630" s="3" t="s">
        <v>2026</v>
      </c>
    </row>
    <row r="1631" spans="1:8" ht="13.8" x14ac:dyDescent="0.25">
      <c r="A1631" s="3" t="s">
        <v>1890</v>
      </c>
      <c r="B1631" s="3" t="s">
        <v>2044</v>
      </c>
      <c r="C1631" s="4" t="str">
        <f>HYPERLINK("http://www.rncp.cncp.gouv.fr/grand-public/visualisationFiche?format=fr&amp;fiche=15616","15616")</f>
        <v>15616</v>
      </c>
      <c r="D1631" s="4" t="str">
        <f>HYPERLINK("http://www.intercariforef.org/formations/certification-64256.html","64256")</f>
        <v>64256</v>
      </c>
      <c r="E1631" s="5">
        <v>2308</v>
      </c>
      <c r="F1631" s="5" t="s">
        <v>10</v>
      </c>
      <c r="G1631" s="5" t="s">
        <v>11</v>
      </c>
      <c r="H1631" s="3" t="s">
        <v>2026</v>
      </c>
    </row>
    <row r="1632" spans="1:8" ht="13.8" x14ac:dyDescent="0.25">
      <c r="A1632" s="3" t="s">
        <v>1890</v>
      </c>
      <c r="B1632" s="3" t="s">
        <v>2045</v>
      </c>
      <c r="C1632" s="4" t="str">
        <f>HYPERLINK("http://www.rncp.cncp.gouv.fr/grand-public/visualisationFiche?format=fr&amp;fiche=2262","2262")</f>
        <v>2262</v>
      </c>
      <c r="D1632" s="4" t="str">
        <f>HYPERLINK("http://www.intercariforef.org/formations/certification-19856.html","19856")</f>
        <v>19856</v>
      </c>
      <c r="E1632" s="5">
        <v>2317</v>
      </c>
      <c r="F1632" s="5" t="s">
        <v>10</v>
      </c>
      <c r="G1632" s="5" t="s">
        <v>11</v>
      </c>
      <c r="H1632" s="3" t="s">
        <v>2026</v>
      </c>
    </row>
    <row r="1633" spans="1:8" ht="13.8" x14ac:dyDescent="0.25">
      <c r="A1633" s="3" t="s">
        <v>1890</v>
      </c>
      <c r="B1633" s="3" t="s">
        <v>2046</v>
      </c>
      <c r="C1633" s="4" t="str">
        <f>HYPERLINK("http://www.rncp.cncp.gouv.fr/grand-public/visualisationFiche?format=fr&amp;fiche=2277","2277")</f>
        <v>2277</v>
      </c>
      <c r="D1633" s="4" t="str">
        <f>HYPERLINK("http://www.intercariforef.org/formations/certification-19865.html","19865")</f>
        <v>19865</v>
      </c>
      <c r="E1633" s="5">
        <v>141174</v>
      </c>
      <c r="F1633" s="5" t="s">
        <v>10</v>
      </c>
      <c r="G1633" s="5" t="s">
        <v>11</v>
      </c>
      <c r="H1633" s="3" t="s">
        <v>2026</v>
      </c>
    </row>
    <row r="1634" spans="1:8" ht="13.8" x14ac:dyDescent="0.25">
      <c r="A1634" s="3" t="s">
        <v>1890</v>
      </c>
      <c r="B1634" s="3" t="s">
        <v>2047</v>
      </c>
      <c r="C1634" s="4" t="str">
        <f>HYPERLINK("http://www.rncp.cncp.gouv.fr/grand-public/visualisationFiche?format=fr&amp;fiche=2282","2282")</f>
        <v>2282</v>
      </c>
      <c r="D1634" s="4" t="str">
        <f>HYPERLINK("http://www.intercariforef.org/formations/certification-19860.html","19860")</f>
        <v>19860</v>
      </c>
      <c r="E1634" s="5">
        <v>144389</v>
      </c>
      <c r="F1634" s="5" t="s">
        <v>10</v>
      </c>
      <c r="G1634" s="5" t="s">
        <v>11</v>
      </c>
      <c r="H1634" s="3" t="s">
        <v>2026</v>
      </c>
    </row>
    <row r="1635" spans="1:8" ht="13.8" x14ac:dyDescent="0.25">
      <c r="A1635" s="3" t="s">
        <v>1890</v>
      </c>
      <c r="B1635" s="3" t="s">
        <v>2048</v>
      </c>
      <c r="C1635" s="4" t="str">
        <f>HYPERLINK("http://www.rncp.cncp.gouv.fr/grand-public/visualisationFiche?format=fr&amp;fiche=2287","2287")</f>
        <v>2287</v>
      </c>
      <c r="D1635" s="4" t="str">
        <f>HYPERLINK("http://www.intercariforef.org/formations/certification-19867.html","19867")</f>
        <v>19867</v>
      </c>
      <c r="E1635" s="5">
        <v>144392</v>
      </c>
      <c r="F1635" s="5" t="s">
        <v>10</v>
      </c>
      <c r="G1635" s="5" t="s">
        <v>11</v>
      </c>
      <c r="H1635" s="3" t="s">
        <v>2026</v>
      </c>
    </row>
    <row r="1636" spans="1:8" ht="27.6" x14ac:dyDescent="0.25">
      <c r="A1636" s="3" t="s">
        <v>1890</v>
      </c>
      <c r="B1636" s="3" t="s">
        <v>2049</v>
      </c>
      <c r="C1636" s="4" t="str">
        <f>HYPERLINK("http://www.rncp.cncp.gouv.fr/grand-public/visualisationFiche?format=fr&amp;fiche=2288","2288")</f>
        <v>2288</v>
      </c>
      <c r="D1636" s="4" t="str">
        <f>HYPERLINK("http://www.intercariforef.org/formations/certification-19868.html","19868")</f>
        <v>19868</v>
      </c>
      <c r="E1636" s="5">
        <v>144393</v>
      </c>
      <c r="F1636" s="5" t="s">
        <v>10</v>
      </c>
      <c r="G1636" s="5" t="s">
        <v>11</v>
      </c>
      <c r="H1636" s="3" t="s">
        <v>2026</v>
      </c>
    </row>
    <row r="1637" spans="1:8" ht="13.8" x14ac:dyDescent="0.25">
      <c r="A1637" s="3" t="s">
        <v>1890</v>
      </c>
      <c r="B1637" s="3" t="s">
        <v>2050</v>
      </c>
      <c r="C1637" s="4" t="str">
        <f>HYPERLINK("http://www.rncp.cncp.gouv.fr/grand-public/visualisationFiche?format=fr&amp;fiche=2286","2286")</f>
        <v>2286</v>
      </c>
      <c r="D1637" s="4" t="str">
        <f>HYPERLINK("http://www.intercariforef.org/formations/certification-19870.html","19870")</f>
        <v>19870</v>
      </c>
      <c r="E1637" s="5">
        <v>2318</v>
      </c>
      <c r="F1637" s="5" t="s">
        <v>10</v>
      </c>
      <c r="G1637" s="5" t="s">
        <v>11</v>
      </c>
      <c r="H1637" s="3" t="s">
        <v>2026</v>
      </c>
    </row>
    <row r="1638" spans="1:8" ht="27.6" x14ac:dyDescent="0.25">
      <c r="A1638" s="3" t="s">
        <v>1890</v>
      </c>
      <c r="B1638" s="3" t="s">
        <v>2051</v>
      </c>
      <c r="C1638" s="4" t="str">
        <f>HYPERLINK("http://www.rncp.cncp.gouv.fr/grand-public/visualisationFiche?format=fr&amp;fiche=2291","2291")</f>
        <v>2291</v>
      </c>
      <c r="D1638" s="4" t="str">
        <f>HYPERLINK("http://www.intercariforef.org/formations/certification-46809.html","46809")</f>
        <v>46809</v>
      </c>
      <c r="E1638" s="5">
        <v>144390</v>
      </c>
      <c r="F1638" s="5" t="s">
        <v>10</v>
      </c>
      <c r="G1638" s="5" t="s">
        <v>11</v>
      </c>
      <c r="H1638" s="3" t="s">
        <v>2026</v>
      </c>
    </row>
    <row r="1639" spans="1:8" ht="27.6" x14ac:dyDescent="0.25">
      <c r="A1639" s="3" t="s">
        <v>1890</v>
      </c>
      <c r="B1639" s="3" t="s">
        <v>2052</v>
      </c>
      <c r="C1639" s="4" t="str">
        <f>HYPERLINK("http://www.rncp.cncp.gouv.fr/grand-public/visualisationFiche?format=fr&amp;fiche=2292","2292")</f>
        <v>2292</v>
      </c>
      <c r="D1639" s="4" t="str">
        <f>HYPERLINK("http://www.intercariforef.org/formations/certification-46810.html","46810")</f>
        <v>46810</v>
      </c>
      <c r="E1639" s="5">
        <v>144391</v>
      </c>
      <c r="F1639" s="5" t="s">
        <v>10</v>
      </c>
      <c r="G1639" s="5" t="s">
        <v>11</v>
      </c>
      <c r="H1639" s="3" t="s">
        <v>2026</v>
      </c>
    </row>
    <row r="1640" spans="1:8" ht="13.8" x14ac:dyDescent="0.25">
      <c r="A1640" s="3" t="s">
        <v>1890</v>
      </c>
      <c r="B1640" s="3" t="s">
        <v>2053</v>
      </c>
      <c r="C1640" s="4" t="str">
        <f>HYPERLINK("http://www.rncp.cncp.gouv.fr/grand-public/visualisationFiche?format=fr&amp;fiche=2293","2293")</f>
        <v>2293</v>
      </c>
      <c r="D1640" s="4" t="str">
        <f>HYPERLINK("http://www.intercariforef.org/formations/certification-19878.html","19878")</f>
        <v>19878</v>
      </c>
      <c r="E1640" s="5">
        <v>144394</v>
      </c>
      <c r="F1640" s="5" t="s">
        <v>10</v>
      </c>
      <c r="G1640" s="5" t="s">
        <v>11</v>
      </c>
      <c r="H1640" s="3" t="s">
        <v>2026</v>
      </c>
    </row>
    <row r="1641" spans="1:8" ht="13.8" x14ac:dyDescent="0.25">
      <c r="A1641" s="3" t="s">
        <v>1890</v>
      </c>
      <c r="B1641" s="3" t="s">
        <v>2054</v>
      </c>
      <c r="C1641" s="4" t="str">
        <f>HYPERLINK("http://www.rncp.cncp.gouv.fr/grand-public/visualisationFiche?format=fr&amp;fiche=7426","7426")</f>
        <v>7426</v>
      </c>
      <c r="D1641" s="4" t="str">
        <f>HYPERLINK("http://www.intercariforef.org/formations/certification-63695.html","63695")</f>
        <v>63695</v>
      </c>
      <c r="E1641" s="5">
        <v>161332</v>
      </c>
      <c r="F1641" s="5" t="s">
        <v>10</v>
      </c>
      <c r="G1641" s="5" t="s">
        <v>11</v>
      </c>
      <c r="H1641" s="3" t="s">
        <v>34</v>
      </c>
    </row>
    <row r="1642" spans="1:8" ht="27.6" x14ac:dyDescent="0.25">
      <c r="A1642" s="3" t="s">
        <v>1890</v>
      </c>
      <c r="B1642" s="3" t="s">
        <v>2055</v>
      </c>
      <c r="C1642" s="4" t="str">
        <f>HYPERLINK("http://www.rncp.cncp.gouv.fr/grand-public/visualisationFiche?format=fr&amp;fiche=19251","19251")</f>
        <v>19251</v>
      </c>
      <c r="D1642" s="4" t="str">
        <f>HYPERLINK("http://www.intercariforef.org/formations/certification-83206.html","83206")</f>
        <v>83206</v>
      </c>
      <c r="E1642" s="5">
        <v>130993</v>
      </c>
      <c r="F1642" s="5" t="s">
        <v>10</v>
      </c>
      <c r="G1642" s="5" t="s">
        <v>11</v>
      </c>
      <c r="H1642" s="3" t="s">
        <v>1822</v>
      </c>
    </row>
    <row r="1643" spans="1:8" ht="13.8" x14ac:dyDescent="0.25">
      <c r="A1643" s="3" t="s">
        <v>1890</v>
      </c>
      <c r="B1643" s="3" t="s">
        <v>2056</v>
      </c>
      <c r="C1643" s="4" t="str">
        <f>HYPERLINK("http://www.rncp.cncp.gouv.fr/grand-public/visualisationFiche?format=fr&amp;fiche=14442","14442")</f>
        <v>14442</v>
      </c>
      <c r="D1643" s="4" t="str">
        <f>HYPERLINK("http://www.intercariforef.org/formations/certification-77583.html","77583")</f>
        <v>77583</v>
      </c>
      <c r="E1643" s="5">
        <v>2309</v>
      </c>
      <c r="F1643" s="5" t="s">
        <v>10</v>
      </c>
      <c r="G1643" s="5" t="s">
        <v>11</v>
      </c>
      <c r="H1643" s="3" t="s">
        <v>2057</v>
      </c>
    </row>
    <row r="1644" spans="1:8" ht="13.8" x14ac:dyDescent="0.25">
      <c r="A1644" s="3" t="s">
        <v>1890</v>
      </c>
      <c r="B1644" s="3" t="s">
        <v>2058</v>
      </c>
      <c r="C1644" s="4" t="str">
        <f>HYPERLINK("http://www.rncp.cncp.gouv.fr/grand-public/visualisationFiche?format=fr&amp;fiche=13573","13573")</f>
        <v>13573</v>
      </c>
      <c r="D1644" s="4" t="str">
        <f>HYPERLINK("http://www.intercariforef.org/formations/certification-74852.html","74852")</f>
        <v>74852</v>
      </c>
      <c r="E1644" s="5">
        <v>2310</v>
      </c>
      <c r="F1644" s="5" t="s">
        <v>10</v>
      </c>
      <c r="G1644" s="5" t="s">
        <v>11</v>
      </c>
      <c r="H1644" s="3" t="s">
        <v>2059</v>
      </c>
    </row>
    <row r="1645" spans="1:8" ht="13.8" x14ac:dyDescent="0.25">
      <c r="A1645" s="3" t="s">
        <v>1890</v>
      </c>
      <c r="B1645" s="3" t="s">
        <v>2060</v>
      </c>
      <c r="C1645" s="4" t="str">
        <f>HYPERLINK("http://www.rncp.cncp.gouv.fr/grand-public/visualisationFiche?format=fr&amp;fiche=23655","23655")</f>
        <v>23655</v>
      </c>
      <c r="D1645" s="4" t="str">
        <f>HYPERLINK("http://www.intercariforef.org/formations/certification-62861.html","62861")</f>
        <v>62861</v>
      </c>
      <c r="E1645" s="5">
        <v>2311</v>
      </c>
      <c r="F1645" s="5" t="s">
        <v>10</v>
      </c>
      <c r="G1645" s="5" t="s">
        <v>11</v>
      </c>
      <c r="H1645" s="3" t="s">
        <v>2061</v>
      </c>
    </row>
    <row r="1646" spans="1:8" ht="13.8" x14ac:dyDescent="0.25">
      <c r="A1646" s="3" t="s">
        <v>1890</v>
      </c>
      <c r="B1646" s="3" t="s">
        <v>2062</v>
      </c>
      <c r="C1646" s="4" t="str">
        <f>HYPERLINK("http://www.rncp.cncp.gouv.fr/grand-public/visualisationFiche?format=fr&amp;fiche=4698","4698")</f>
        <v>4698</v>
      </c>
      <c r="D1646" s="4" t="str">
        <f>HYPERLINK("http://www.intercariforef.org/formations/certification-52882.html","52882")</f>
        <v>52882</v>
      </c>
      <c r="E1646" s="5">
        <v>144384</v>
      </c>
      <c r="F1646" s="5" t="s">
        <v>10</v>
      </c>
      <c r="G1646" s="5" t="s">
        <v>11</v>
      </c>
      <c r="H1646" s="3" t="s">
        <v>93</v>
      </c>
    </row>
    <row r="1647" spans="1:8" ht="13.8" x14ac:dyDescent="0.25">
      <c r="A1647" s="3" t="s">
        <v>1890</v>
      </c>
      <c r="B1647" s="3" t="s">
        <v>2063</v>
      </c>
      <c r="C1647" s="4" t="str">
        <f>HYPERLINK("http://www.rncp.cncp.gouv.fr/grand-public/visualisationFiche?format=fr&amp;fiche=6558","6558")</f>
        <v>6558</v>
      </c>
      <c r="D1647" s="4" t="str">
        <f>HYPERLINK("http://www.intercariforef.org/formations/certification-62694.html","62694")</f>
        <v>62694</v>
      </c>
      <c r="E1647" s="5">
        <v>144385</v>
      </c>
      <c r="F1647" s="5" t="s">
        <v>10</v>
      </c>
      <c r="G1647" s="5" t="s">
        <v>11</v>
      </c>
      <c r="H1647" s="3" t="s">
        <v>2064</v>
      </c>
    </row>
    <row r="1648" spans="1:8" ht="13.8" x14ac:dyDescent="0.25">
      <c r="A1648" s="3" t="s">
        <v>1890</v>
      </c>
      <c r="B1648" s="3" t="s">
        <v>2065</v>
      </c>
      <c r="C1648" s="4" t="str">
        <f>HYPERLINK("http://www.rncp.cncp.gouv.fr/grand-public/visualisationFiche?format=fr&amp;fiche=19347","19347")</f>
        <v>19347</v>
      </c>
      <c r="D1648" s="4" t="str">
        <f>HYPERLINK("http://www.intercariforef.org/formations/certification-83345.html","83345")</f>
        <v>83345</v>
      </c>
      <c r="E1648" s="5">
        <v>144386</v>
      </c>
      <c r="F1648" s="5" t="s">
        <v>10</v>
      </c>
      <c r="G1648" s="5" t="s">
        <v>11</v>
      </c>
      <c r="H1648" s="3" t="s">
        <v>2066</v>
      </c>
    </row>
    <row r="1649" spans="1:8" ht="13.8" x14ac:dyDescent="0.25">
      <c r="A1649" s="3" t="s">
        <v>1890</v>
      </c>
      <c r="B1649" s="3" t="s">
        <v>2067</v>
      </c>
      <c r="C1649" s="4" t="str">
        <f>HYPERLINK("http://www.rncp.cncp.gouv.fr/grand-public/visualisationFiche?format=fr&amp;fiche=17816","17816")</f>
        <v>17816</v>
      </c>
      <c r="D1649" s="4" t="str">
        <f>HYPERLINK("http://www.intercariforef.org/formations/certification-82285.html","82285")</f>
        <v>82285</v>
      </c>
      <c r="E1649" s="5">
        <v>2312</v>
      </c>
      <c r="F1649" s="5" t="s">
        <v>10</v>
      </c>
      <c r="G1649" s="5" t="s">
        <v>11</v>
      </c>
      <c r="H1649" s="3" t="s">
        <v>1066</v>
      </c>
    </row>
    <row r="1650" spans="1:8" ht="27.6" x14ac:dyDescent="0.25">
      <c r="A1650" s="3" t="s">
        <v>1890</v>
      </c>
      <c r="B1650" s="3" t="s">
        <v>2068</v>
      </c>
      <c r="C1650" s="4" t="str">
        <f>HYPERLINK("http://www.rncp.cncp.gouv.fr/grand-public/visualisationFiche?format=fr&amp;fiche=11507","11507")</f>
        <v>11507</v>
      </c>
      <c r="D1650" s="4" t="str">
        <f>HYPERLINK("http://www.intercariforef.org/formations/certification-72717.html","72717")</f>
        <v>72717</v>
      </c>
      <c r="E1650" s="5">
        <v>2315</v>
      </c>
      <c r="F1650" s="5" t="s">
        <v>10</v>
      </c>
      <c r="G1650" s="5" t="s">
        <v>11</v>
      </c>
      <c r="H1650" s="3" t="s">
        <v>2069</v>
      </c>
    </row>
    <row r="1651" spans="1:8" ht="13.8" x14ac:dyDescent="0.25">
      <c r="A1651" s="3" t="s">
        <v>1890</v>
      </c>
      <c r="B1651" s="3" t="s">
        <v>2070</v>
      </c>
      <c r="C1651" s="4" t="str">
        <f>HYPERLINK("http://www.rncp.cncp.gouv.fr/grand-public/visualisationFiche?format=fr&amp;fiche=15762","15762")</f>
        <v>15762</v>
      </c>
      <c r="D1651" s="4" t="str">
        <f>HYPERLINK("http://www.intercariforef.org/formations/certification-80508.html","80508")</f>
        <v>80508</v>
      </c>
      <c r="E1651" s="5">
        <v>161365</v>
      </c>
      <c r="F1651" s="5" t="s">
        <v>10</v>
      </c>
      <c r="G1651" s="5" t="s">
        <v>11</v>
      </c>
      <c r="H1651" s="3" t="s">
        <v>2071</v>
      </c>
    </row>
    <row r="1652" spans="1:8" ht="13.8" x14ac:dyDescent="0.25">
      <c r="A1652" s="3" t="s">
        <v>1890</v>
      </c>
      <c r="B1652" s="3" t="s">
        <v>2072</v>
      </c>
      <c r="C1652" s="4" t="str">
        <f>HYPERLINK("http://www.rncp.cncp.gouv.fr/grand-public/visualisationFiche?format=fr&amp;fiche=4028","4028")</f>
        <v>4028</v>
      </c>
      <c r="D1652" s="4" t="str">
        <f>HYPERLINK("http://www.intercariforef.org/formations/certification-47291.html","47291")</f>
        <v>47291</v>
      </c>
      <c r="E1652" s="5">
        <v>144387</v>
      </c>
      <c r="F1652" s="5" t="s">
        <v>10</v>
      </c>
      <c r="G1652" s="5" t="s">
        <v>11</v>
      </c>
      <c r="H1652" s="3" t="s">
        <v>2073</v>
      </c>
    </row>
    <row r="1653" spans="1:8" ht="27.6" x14ac:dyDescent="0.25">
      <c r="A1653" s="3" t="s">
        <v>1890</v>
      </c>
      <c r="B1653" s="3" t="s">
        <v>2074</v>
      </c>
      <c r="C1653" s="4" t="str">
        <f>HYPERLINK("http://www.rncp.cncp.gouv.fr/grand-public/visualisationFiche?format=fr&amp;fiche=6571","6571")</f>
        <v>6571</v>
      </c>
      <c r="D1653" s="4" t="str">
        <f>HYPERLINK("http://www.intercariforef.org/formations/certification-62709.html","62709")</f>
        <v>62709</v>
      </c>
      <c r="E1653" s="5">
        <v>161333</v>
      </c>
      <c r="F1653" s="5" t="s">
        <v>10</v>
      </c>
      <c r="G1653" s="5" t="s">
        <v>11</v>
      </c>
      <c r="H1653" s="3" t="s">
        <v>2075</v>
      </c>
    </row>
    <row r="1654" spans="1:8" ht="13.8" x14ac:dyDescent="0.25">
      <c r="A1654" s="3" t="s">
        <v>1890</v>
      </c>
      <c r="B1654" s="3" t="s">
        <v>2076</v>
      </c>
      <c r="C1654" s="4" t="str">
        <f>HYPERLINK("http://www.rncp.cncp.gouv.fr/grand-public/visualisationFiche?format=fr&amp;fiche=15761","15761")</f>
        <v>15761</v>
      </c>
      <c r="D1654" s="4" t="str">
        <f>HYPERLINK("http://www.intercariforef.org/formations/certification-80507.html","80507")</f>
        <v>80507</v>
      </c>
      <c r="E1654" s="5">
        <v>130994</v>
      </c>
      <c r="F1654" s="5" t="s">
        <v>10</v>
      </c>
      <c r="G1654" s="5" t="s">
        <v>11</v>
      </c>
      <c r="H1654" s="3" t="s">
        <v>1099</v>
      </c>
    </row>
    <row r="1655" spans="1:8" ht="13.8" x14ac:dyDescent="0.25">
      <c r="A1655" s="3" t="s">
        <v>1890</v>
      </c>
      <c r="B1655" s="3" t="s">
        <v>2077</v>
      </c>
      <c r="C1655" s="4" t="str">
        <f>HYPERLINK("http://www.rncp.cncp.gouv.fr/grand-public/visualisationFiche?format=fr&amp;fiche=14438","14438")</f>
        <v>14438</v>
      </c>
      <c r="D1655" s="4" t="str">
        <f>HYPERLINK("http://www.intercariforef.org/formations/certification-77609.html","77609")</f>
        <v>77609</v>
      </c>
      <c r="E1655" s="5">
        <v>2316</v>
      </c>
      <c r="F1655" s="5" t="s">
        <v>10</v>
      </c>
      <c r="G1655" s="5" t="s">
        <v>11</v>
      </c>
      <c r="H1655" s="3" t="s">
        <v>2078</v>
      </c>
    </row>
    <row r="1656" spans="1:8" ht="13.8" x14ac:dyDescent="0.25">
      <c r="A1656" s="3" t="s">
        <v>1890</v>
      </c>
      <c r="B1656" s="3" t="s">
        <v>2079</v>
      </c>
      <c r="C1656" s="4" t="str">
        <f>HYPERLINK("http://www.rncp.cncp.gouv.fr/grand-public/visualisationFiche?format=fr&amp;fiche=16575","16575")</f>
        <v>16575</v>
      </c>
      <c r="D1656" s="4" t="str">
        <f>HYPERLINK("http://www.intercariforef.org/formations/certification-60042.html","60042")</f>
        <v>60042</v>
      </c>
      <c r="E1656" s="5">
        <v>131016</v>
      </c>
      <c r="F1656" s="5" t="s">
        <v>10</v>
      </c>
      <c r="G1656" s="5" t="s">
        <v>11</v>
      </c>
      <c r="H1656" s="3" t="s">
        <v>2080</v>
      </c>
    </row>
    <row r="1657" spans="1:8" ht="27.6" x14ac:dyDescent="0.25">
      <c r="A1657" s="3" t="s">
        <v>1890</v>
      </c>
      <c r="B1657" s="3" t="s">
        <v>2081</v>
      </c>
      <c r="C1657" s="4" t="str">
        <f>HYPERLINK("http://www.rncp.cncp.gouv.fr/grand-public/visualisationFiche?format=fr&amp;fiche=15358","15358")</f>
        <v>15358</v>
      </c>
      <c r="D1657" s="4" t="str">
        <f>HYPERLINK("http://www.intercariforef.org/formations/certification-78966.html","78966")</f>
        <v>78966</v>
      </c>
      <c r="E1657" s="5">
        <v>144388</v>
      </c>
      <c r="F1657" s="5" t="s">
        <v>10</v>
      </c>
      <c r="G1657" s="5" t="s">
        <v>11</v>
      </c>
      <c r="H1657" s="3" t="s">
        <v>2082</v>
      </c>
    </row>
    <row r="1658" spans="1:8" ht="27.6" x14ac:dyDescent="0.25">
      <c r="A1658" s="3" t="s">
        <v>1890</v>
      </c>
      <c r="B1658" s="3" t="s">
        <v>2083</v>
      </c>
      <c r="C1658" s="4" t="str">
        <f>HYPERLINK("http://www.rncp.cncp.gouv.fr/grand-public/visualisationFiche?format=fr&amp;fiche=4900","4900")</f>
        <v>4900</v>
      </c>
      <c r="D1658" s="4" t="str">
        <f>HYPERLINK("http://www.intercariforef.org/formations/certification-57867.html","57867")</f>
        <v>57867</v>
      </c>
      <c r="E1658" s="5">
        <v>161335</v>
      </c>
      <c r="F1658" s="5" t="s">
        <v>10</v>
      </c>
      <c r="G1658" s="5" t="s">
        <v>11</v>
      </c>
      <c r="H1658" s="3" t="s">
        <v>1121</v>
      </c>
    </row>
    <row r="1659" spans="1:8" ht="27.6" x14ac:dyDescent="0.25">
      <c r="A1659" s="3" t="s">
        <v>1890</v>
      </c>
      <c r="B1659" s="3" t="s">
        <v>2084</v>
      </c>
      <c r="C1659" s="4" t="str">
        <f>HYPERLINK("http://www.rncp.cncp.gouv.fr/grand-public/visualisationFiche?format=fr&amp;fiche=4900","4900")</f>
        <v>4900</v>
      </c>
      <c r="D1659" s="4" t="str">
        <f>HYPERLINK("http://www.intercariforef.org/formations/certification-53982.html","53982")</f>
        <v>53982</v>
      </c>
      <c r="E1659" s="5">
        <v>161334</v>
      </c>
      <c r="F1659" s="5" t="s">
        <v>10</v>
      </c>
      <c r="G1659" s="5" t="s">
        <v>11</v>
      </c>
      <c r="H1659" s="3" t="s">
        <v>1121</v>
      </c>
    </row>
    <row r="1660" spans="1:8" ht="27.6" x14ac:dyDescent="0.25">
      <c r="A1660" s="3" t="s">
        <v>1890</v>
      </c>
      <c r="B1660" s="3" t="s">
        <v>2085</v>
      </c>
      <c r="C1660" s="4" t="str">
        <f>HYPERLINK("http://www.rncp.cncp.gouv.fr/grand-public/visualisationFiche?format=fr&amp;fiche=4863","4863")</f>
        <v>4863</v>
      </c>
      <c r="D1660" s="4" t="str">
        <f>HYPERLINK("http://www.intercariforef.org/formations/certification-55118.html","55118")</f>
        <v>55118</v>
      </c>
      <c r="E1660" s="5">
        <v>144397</v>
      </c>
      <c r="F1660" s="5" t="s">
        <v>10</v>
      </c>
      <c r="G1660" s="5" t="s">
        <v>11</v>
      </c>
      <c r="H1660" s="3" t="s">
        <v>1121</v>
      </c>
    </row>
    <row r="1661" spans="1:8" ht="13.8" x14ac:dyDescent="0.25">
      <c r="A1661" s="3" t="s">
        <v>1890</v>
      </c>
      <c r="B1661" s="3" t="s">
        <v>2086</v>
      </c>
      <c r="C1661" s="4" t="str">
        <f>HYPERLINK("http://www.rncp.cncp.gouv.fr/grand-public/visualisationFiche?format=fr&amp;fiche=2911","2911")</f>
        <v>2911</v>
      </c>
      <c r="D1661" s="4" t="str">
        <f>HYPERLINK("http://www.intercariforef.org/formations/certification-19629.html","19629")</f>
        <v>19629</v>
      </c>
      <c r="E1661" s="5">
        <v>144396</v>
      </c>
      <c r="F1661" s="5" t="s">
        <v>10</v>
      </c>
      <c r="G1661" s="5" t="s">
        <v>11</v>
      </c>
      <c r="H1661" s="3" t="s">
        <v>750</v>
      </c>
    </row>
    <row r="1662" spans="1:8" ht="13.8" x14ac:dyDescent="0.25">
      <c r="A1662" s="3" t="s">
        <v>1890</v>
      </c>
      <c r="B1662" s="3" t="s">
        <v>2087</v>
      </c>
      <c r="C1662" s="4" t="str">
        <f>HYPERLINK("http://www.rncp.cncp.gouv.fr/grand-public/visualisationFiche?format=fr&amp;fiche=2884","2884")</f>
        <v>2884</v>
      </c>
      <c r="D1662" s="4" t="str">
        <f>HYPERLINK("http://www.intercariforef.org/formations/certification-76816.html","76816")</f>
        <v>76816</v>
      </c>
      <c r="E1662" s="5">
        <v>144395</v>
      </c>
      <c r="F1662" s="5" t="s">
        <v>10</v>
      </c>
      <c r="G1662" s="5" t="s">
        <v>11</v>
      </c>
      <c r="H1662" s="3" t="s">
        <v>785</v>
      </c>
    </row>
    <row r="1663" spans="1:8" ht="27.6" x14ac:dyDescent="0.25">
      <c r="A1663" s="3" t="s">
        <v>1890</v>
      </c>
      <c r="B1663" s="3" t="s">
        <v>2088</v>
      </c>
      <c r="C1663" s="5"/>
      <c r="D1663" s="4" t="str">
        <f>HYPERLINK("http://www.intercariforef.org/formations/certification-78957.html","78957")</f>
        <v>78957</v>
      </c>
      <c r="E1663" s="5">
        <v>153963</v>
      </c>
      <c r="F1663" s="5" t="s">
        <v>10</v>
      </c>
      <c r="G1663" s="5" t="s">
        <v>11</v>
      </c>
      <c r="H1663" s="3" t="s">
        <v>34</v>
      </c>
    </row>
    <row r="1664" spans="1:8" ht="13.8" x14ac:dyDescent="0.25">
      <c r="A1664" s="3" t="s">
        <v>1890</v>
      </c>
      <c r="B1664" s="3" t="s">
        <v>2089</v>
      </c>
      <c r="C1664" s="4" t="str">
        <f>HYPERLINK("http://www.rncp.cncp.gouv.fr/grand-public/visualisationFiche?format=fr&amp;fiche=2898","2898")</f>
        <v>2898</v>
      </c>
      <c r="D1664" s="4" t="str">
        <f>HYPERLINK("http://www.intercariforef.org/formations/certification-19552.html","19552")</f>
        <v>19552</v>
      </c>
      <c r="E1664" s="5">
        <v>2378</v>
      </c>
      <c r="F1664" s="5" t="s">
        <v>10</v>
      </c>
      <c r="G1664" s="5" t="s">
        <v>11</v>
      </c>
      <c r="H1664" s="3" t="s">
        <v>892</v>
      </c>
    </row>
    <row r="1665" spans="1:8" ht="27.6" x14ac:dyDescent="0.25">
      <c r="A1665" s="3" t="s">
        <v>1890</v>
      </c>
      <c r="B1665" s="3" t="s">
        <v>2090</v>
      </c>
      <c r="C1665" s="4" t="str">
        <f>HYPERLINK("http://www.rncp.cncp.gouv.fr/grand-public/visualisationFiche?format=fr&amp;fiche=16487","16487")</f>
        <v>16487</v>
      </c>
      <c r="D1665" s="4" t="str">
        <f>HYPERLINK("http://www.intercariforef.org/formations/certification-42941.html","42941")</f>
        <v>42941</v>
      </c>
      <c r="E1665" s="5">
        <v>161336</v>
      </c>
      <c r="F1665" s="5" t="s">
        <v>10</v>
      </c>
      <c r="G1665" s="5" t="s">
        <v>11</v>
      </c>
      <c r="H1665" s="3" t="s">
        <v>112</v>
      </c>
    </row>
    <row r="1666" spans="1:8" ht="13.8" x14ac:dyDescent="0.25">
      <c r="A1666" s="3" t="s">
        <v>1890</v>
      </c>
      <c r="B1666" s="3" t="s">
        <v>2091</v>
      </c>
      <c r="C1666" s="4" t="str">
        <f>HYPERLINK("http://www.rncp.cncp.gouv.fr/grand-public/visualisationFiche?format=fr&amp;fiche=3973","3973")</f>
        <v>3973</v>
      </c>
      <c r="D1666" s="4" t="str">
        <f>HYPERLINK("http://www.intercariforef.org/formations/certification-19576.html","19576")</f>
        <v>19576</v>
      </c>
      <c r="E1666" s="5">
        <v>2320</v>
      </c>
      <c r="F1666" s="5" t="s">
        <v>10</v>
      </c>
      <c r="G1666" s="5" t="s">
        <v>11</v>
      </c>
      <c r="H1666" s="3" t="s">
        <v>746</v>
      </c>
    </row>
    <row r="1667" spans="1:8" ht="27.6" x14ac:dyDescent="0.25">
      <c r="A1667" s="3" t="s">
        <v>1890</v>
      </c>
      <c r="B1667" s="3" t="s">
        <v>2092</v>
      </c>
      <c r="C1667" s="4" t="str">
        <f>HYPERLINK("http://www.rncp.cncp.gouv.fr/grand-public/visualisationFiche?format=fr&amp;fiche=4709","4709")</f>
        <v>4709</v>
      </c>
      <c r="D1667" s="4" t="str">
        <f>HYPERLINK("http://www.intercariforef.org/formations/certification-66388.html","66388")</f>
        <v>66388</v>
      </c>
      <c r="E1667" s="5">
        <v>161337</v>
      </c>
      <c r="F1667" s="5" t="s">
        <v>10</v>
      </c>
      <c r="G1667" s="5" t="s">
        <v>11</v>
      </c>
      <c r="H1667" s="3" t="s">
        <v>771</v>
      </c>
    </row>
    <row r="1668" spans="1:8" ht="27.6" x14ac:dyDescent="0.25">
      <c r="A1668" s="3" t="s">
        <v>1890</v>
      </c>
      <c r="B1668" s="3" t="s">
        <v>2092</v>
      </c>
      <c r="C1668" s="5"/>
      <c r="D1668" s="4" t="str">
        <f>HYPERLINK("http://www.intercariforef.org/formations/certification-82023.html","82023")</f>
        <v>82023</v>
      </c>
      <c r="E1668" s="5">
        <v>161341</v>
      </c>
      <c r="F1668" s="5" t="s">
        <v>10</v>
      </c>
      <c r="G1668" s="5" t="s">
        <v>11</v>
      </c>
      <c r="H1668" s="3" t="s">
        <v>713</v>
      </c>
    </row>
    <row r="1669" spans="1:8" ht="27.6" x14ac:dyDescent="0.25">
      <c r="A1669" s="3" t="s">
        <v>1890</v>
      </c>
      <c r="B1669" s="3" t="s">
        <v>2092</v>
      </c>
      <c r="C1669" s="5"/>
      <c r="D1669" s="4" t="str">
        <f>HYPERLINK("http://www.intercariforef.org/formations/certification-79590.html","79590")</f>
        <v>79590</v>
      </c>
      <c r="E1669" s="5">
        <v>161340</v>
      </c>
      <c r="F1669" s="5" t="s">
        <v>10</v>
      </c>
      <c r="G1669" s="5" t="s">
        <v>11</v>
      </c>
      <c r="H1669" s="3" t="s">
        <v>785</v>
      </c>
    </row>
    <row r="1670" spans="1:8" ht="27.6" x14ac:dyDescent="0.25">
      <c r="A1670" s="3" t="s">
        <v>1890</v>
      </c>
      <c r="B1670" s="3" t="s">
        <v>2092</v>
      </c>
      <c r="C1670" s="4" t="str">
        <f>HYPERLINK("http://www.rncp.cncp.gouv.fr/grand-public/visualisationFiche?format=fr&amp;fiche=4709","4709")</f>
        <v>4709</v>
      </c>
      <c r="D1670" s="4" t="str">
        <f>HYPERLINK("http://www.intercariforef.org/formations/certification-66390.html","66390")</f>
        <v>66390</v>
      </c>
      <c r="E1670" s="5">
        <v>161338</v>
      </c>
      <c r="F1670" s="5" t="s">
        <v>10</v>
      </c>
      <c r="G1670" s="5" t="s">
        <v>11</v>
      </c>
      <c r="H1670" s="3" t="s">
        <v>746</v>
      </c>
    </row>
    <row r="1671" spans="1:8" ht="27.6" x14ac:dyDescent="0.25">
      <c r="A1671" s="3" t="s">
        <v>1890</v>
      </c>
      <c r="B1671" s="3" t="s">
        <v>2092</v>
      </c>
      <c r="C1671" s="4" t="str">
        <f>HYPERLINK("http://www.rncp.cncp.gouv.fr/grand-public/visualisationFiche?format=fr&amp;fiche=4709","4709")</f>
        <v>4709</v>
      </c>
      <c r="D1671" s="4" t="str">
        <f>HYPERLINK("http://www.intercariforef.org/formations/certification-68417.html","68417")</f>
        <v>68417</v>
      </c>
      <c r="E1671" s="5">
        <v>161339</v>
      </c>
      <c r="F1671" s="5" t="s">
        <v>10</v>
      </c>
      <c r="G1671" s="5" t="s">
        <v>11</v>
      </c>
      <c r="H1671" s="3" t="s">
        <v>810</v>
      </c>
    </row>
    <row r="1672" spans="1:8" ht="27.6" x14ac:dyDescent="0.25">
      <c r="A1672" s="3" t="s">
        <v>1890</v>
      </c>
      <c r="B1672" s="3" t="s">
        <v>2093</v>
      </c>
      <c r="C1672" s="4" t="str">
        <f>HYPERLINK("http://www.rncp.cncp.gouv.fr/grand-public/visualisationFiche?format=fr&amp;fiche=17891","17891")</f>
        <v>17891</v>
      </c>
      <c r="D1672" s="4" t="str">
        <f>HYPERLINK("http://www.intercariforef.org/formations/certification-68450.html","68450")</f>
        <v>68450</v>
      </c>
      <c r="E1672" s="5">
        <v>2329</v>
      </c>
      <c r="F1672" s="5" t="s">
        <v>10</v>
      </c>
      <c r="G1672" s="5" t="s">
        <v>11</v>
      </c>
      <c r="H1672" s="3" t="s">
        <v>713</v>
      </c>
    </row>
    <row r="1673" spans="1:8" ht="27.6" x14ac:dyDescent="0.25">
      <c r="A1673" s="3" t="s">
        <v>1890</v>
      </c>
      <c r="B1673" s="3" t="s">
        <v>2094</v>
      </c>
      <c r="C1673" s="5"/>
      <c r="D1673" s="4" t="str">
        <f>HYPERLINK("http://www.intercariforef.org/formations/certification-81977.html","81977")</f>
        <v>81977</v>
      </c>
      <c r="E1673" s="5">
        <v>161350</v>
      </c>
      <c r="F1673" s="5" t="s">
        <v>10</v>
      </c>
      <c r="G1673" s="5" t="s">
        <v>11</v>
      </c>
      <c r="H1673" s="3" t="s">
        <v>905</v>
      </c>
    </row>
    <row r="1674" spans="1:8" ht="27.6" x14ac:dyDescent="0.25">
      <c r="A1674" s="3" t="s">
        <v>1890</v>
      </c>
      <c r="B1674" s="3" t="s">
        <v>2095</v>
      </c>
      <c r="C1674" s="4" t="str">
        <f>HYPERLINK("http://www.rncp.cncp.gouv.fr/grand-public/visualisationFiche?format=fr&amp;fiche=24358","24358")</f>
        <v>24358</v>
      </c>
      <c r="D1674" s="4" t="str">
        <f>HYPERLINK("http://www.intercariforef.org/formations/certification-19794.html","19794")</f>
        <v>19794</v>
      </c>
      <c r="E1674" s="5">
        <v>2373</v>
      </c>
      <c r="F1674" s="5" t="s">
        <v>10</v>
      </c>
      <c r="G1674" s="5" t="s">
        <v>11</v>
      </c>
      <c r="H1674" s="3" t="s">
        <v>813</v>
      </c>
    </row>
    <row r="1675" spans="1:8" ht="13.8" x14ac:dyDescent="0.25">
      <c r="A1675" s="3" t="s">
        <v>1890</v>
      </c>
      <c r="B1675" s="3" t="s">
        <v>2096</v>
      </c>
      <c r="C1675" s="4" t="str">
        <f>HYPERLINK("http://www.rncp.cncp.gouv.fr/grand-public/visualisationFiche?format=fr&amp;fiche=2871","2871")</f>
        <v>2871</v>
      </c>
      <c r="D1675" s="4" t="str">
        <f>HYPERLINK("http://www.intercariforef.org/formations/certification-19534.html","19534")</f>
        <v>19534</v>
      </c>
      <c r="E1675" s="5">
        <v>142772</v>
      </c>
      <c r="F1675" s="5" t="s">
        <v>10</v>
      </c>
      <c r="G1675" s="5" t="s">
        <v>11</v>
      </c>
      <c r="H1675" s="3" t="s">
        <v>1221</v>
      </c>
    </row>
    <row r="1676" spans="1:8" ht="27.6" x14ac:dyDescent="0.25">
      <c r="A1676" s="3" t="s">
        <v>1890</v>
      </c>
      <c r="B1676" s="3" t="s">
        <v>2097</v>
      </c>
      <c r="C1676" s="4" t="str">
        <f>HYPERLINK("http://www.rncp.cncp.gouv.fr/grand-public/visualisationFiche?format=fr&amp;fiche=2897","2897")</f>
        <v>2897</v>
      </c>
      <c r="D1676" s="4" t="str">
        <f>HYPERLINK("http://www.intercariforef.org/formations/certification-19681.html","19681")</f>
        <v>19681</v>
      </c>
      <c r="E1676" s="5">
        <v>16438</v>
      </c>
      <c r="F1676" s="5" t="s">
        <v>10</v>
      </c>
      <c r="G1676" s="5" t="s">
        <v>11</v>
      </c>
      <c r="H1676" s="3" t="s">
        <v>892</v>
      </c>
    </row>
    <row r="1677" spans="1:8" ht="13.8" x14ac:dyDescent="0.25">
      <c r="A1677" s="3" t="s">
        <v>1890</v>
      </c>
      <c r="B1677" s="3" t="s">
        <v>1126</v>
      </c>
      <c r="C1677" s="4" t="str">
        <f>HYPERLINK("http://www.rncp.cncp.gouv.fr/grand-public/visualisationFiche?format=fr&amp;fiche=7114","7114")</f>
        <v>7114</v>
      </c>
      <c r="D1677" s="4" t="str">
        <f>HYPERLINK("http://www.intercariforef.org/formations/certification-54957.html","54957")</f>
        <v>54957</v>
      </c>
      <c r="E1677" s="5">
        <v>2374</v>
      </c>
      <c r="F1677" s="5" t="s">
        <v>10</v>
      </c>
      <c r="G1677" s="5" t="s">
        <v>11</v>
      </c>
      <c r="H1677" s="3" t="s">
        <v>2098</v>
      </c>
    </row>
    <row r="1678" spans="1:8" ht="13.8" x14ac:dyDescent="0.25">
      <c r="A1678" s="3" t="s">
        <v>1890</v>
      </c>
      <c r="B1678" s="3" t="s">
        <v>2099</v>
      </c>
      <c r="C1678" s="4" t="str">
        <f>HYPERLINK("http://www.rncp.cncp.gouv.fr/grand-public/visualisationFiche?format=fr&amp;fiche=13595","13595")</f>
        <v>13595</v>
      </c>
      <c r="D1678" s="4" t="str">
        <f>HYPERLINK("http://www.intercariforef.org/formations/certification-76754.html","76754")</f>
        <v>76754</v>
      </c>
      <c r="E1678" s="5">
        <v>2384</v>
      </c>
      <c r="F1678" s="5" t="s">
        <v>10</v>
      </c>
      <c r="G1678" s="5" t="s">
        <v>11</v>
      </c>
      <c r="H1678" s="3" t="s">
        <v>36</v>
      </c>
    </row>
    <row r="1679" spans="1:8" ht="27.6" x14ac:dyDescent="0.25">
      <c r="A1679" s="3" t="s">
        <v>1890</v>
      </c>
      <c r="B1679" s="3" t="s">
        <v>2100</v>
      </c>
      <c r="C1679" s="4" t="str">
        <f>HYPERLINK("http://www.rncp.cncp.gouv.fr/grand-public/visualisationFiche?format=fr&amp;fiche=16615","16615")</f>
        <v>16615</v>
      </c>
      <c r="D1679" s="4" t="str">
        <f>HYPERLINK("http://www.intercariforef.org/formations/certification-56088.html","56088")</f>
        <v>56088</v>
      </c>
      <c r="E1679" s="5">
        <v>2519</v>
      </c>
      <c r="F1679" s="5" t="s">
        <v>10</v>
      </c>
      <c r="G1679" s="5" t="s">
        <v>11</v>
      </c>
      <c r="H1679" s="3" t="s">
        <v>2101</v>
      </c>
    </row>
    <row r="1680" spans="1:8" ht="13.8" x14ac:dyDescent="0.25">
      <c r="A1680" s="3" t="s">
        <v>1890</v>
      </c>
      <c r="B1680" s="3" t="s">
        <v>2102</v>
      </c>
      <c r="C1680" s="4" t="str">
        <f>HYPERLINK("http://www.rncp.cncp.gouv.fr/grand-public/visualisationFiche?format=fr&amp;fiche=12300","12300")</f>
        <v>12300</v>
      </c>
      <c r="D1680" s="4" t="str">
        <f>HYPERLINK("http://www.intercariforef.org/formations/certification-74850.html","74850")</f>
        <v>74850</v>
      </c>
      <c r="E1680" s="5">
        <v>161351</v>
      </c>
      <c r="F1680" s="5" t="s">
        <v>10</v>
      </c>
      <c r="G1680" s="5" t="s">
        <v>11</v>
      </c>
      <c r="H1680" s="3" t="s">
        <v>2103</v>
      </c>
    </row>
    <row r="1681" spans="1:8" ht="13.8" x14ac:dyDescent="0.25">
      <c r="A1681" s="3" t="s">
        <v>1890</v>
      </c>
      <c r="B1681" s="3" t="s">
        <v>2104</v>
      </c>
      <c r="C1681" s="4" t="str">
        <f>HYPERLINK("http://www.rncp.cncp.gouv.fr/grand-public/visualisationFiche?format=fr&amp;fiche=2517","2517")</f>
        <v>2517</v>
      </c>
      <c r="D1681" s="4" t="str">
        <f>HYPERLINK("http://www.intercariforef.org/formations/certification-20103.html","20103")</f>
        <v>20103</v>
      </c>
      <c r="E1681" s="5">
        <v>2386</v>
      </c>
      <c r="F1681" s="5" t="s">
        <v>10</v>
      </c>
      <c r="G1681" s="5" t="s">
        <v>11</v>
      </c>
      <c r="H1681" s="3" t="s">
        <v>25</v>
      </c>
    </row>
    <row r="1682" spans="1:8" ht="13.8" x14ac:dyDescent="0.25">
      <c r="A1682" s="3" t="s">
        <v>1890</v>
      </c>
      <c r="B1682" s="3" t="s">
        <v>2105</v>
      </c>
      <c r="C1682" s="4" t="str">
        <f>HYPERLINK("http://www.rncp.cncp.gouv.fr/grand-public/visualisationFiche?format=fr&amp;fiche=7571","7571")</f>
        <v>7571</v>
      </c>
      <c r="D1682" s="4" t="str">
        <f>HYPERLINK("http://www.intercariforef.org/formations/certification-73378.html","73378")</f>
        <v>73378</v>
      </c>
      <c r="E1682" s="5">
        <v>161321</v>
      </c>
      <c r="F1682" s="5" t="s">
        <v>10</v>
      </c>
      <c r="G1682" s="5" t="s">
        <v>11</v>
      </c>
      <c r="H1682" s="3" t="s">
        <v>81</v>
      </c>
    </row>
    <row r="1683" spans="1:8" ht="27.6" x14ac:dyDescent="0.25">
      <c r="A1683" s="3" t="s">
        <v>1890</v>
      </c>
      <c r="B1683" s="3" t="s">
        <v>2106</v>
      </c>
      <c r="C1683" s="4" t="str">
        <f>HYPERLINK("http://www.rncp.cncp.gouv.fr/grand-public/visualisationFiche?format=fr&amp;fiche=4859","4859")</f>
        <v>4859</v>
      </c>
      <c r="D1683" s="4" t="str">
        <f>HYPERLINK("http://www.intercariforef.org/formations/certification-18730.html","18730")</f>
        <v>18730</v>
      </c>
      <c r="E1683" s="5">
        <v>2387</v>
      </c>
      <c r="F1683" s="5" t="s">
        <v>10</v>
      </c>
      <c r="G1683" s="5" t="s">
        <v>11</v>
      </c>
      <c r="H1683" s="3" t="s">
        <v>2107</v>
      </c>
    </row>
    <row r="1684" spans="1:8" ht="27.6" x14ac:dyDescent="0.25">
      <c r="A1684" s="3" t="s">
        <v>1890</v>
      </c>
      <c r="B1684" s="3" t="s">
        <v>2108</v>
      </c>
      <c r="C1684" s="4" t="str">
        <f>HYPERLINK("http://www.rncp.cncp.gouv.fr/grand-public/visualisationFiche?format=fr&amp;fiche=13866","13866")</f>
        <v>13866</v>
      </c>
      <c r="D1684" s="4" t="str">
        <f>HYPERLINK("http://www.intercariforef.org/formations/certification-49298.html","49298")</f>
        <v>49298</v>
      </c>
      <c r="E1684" s="5">
        <v>161355</v>
      </c>
      <c r="F1684" s="5" t="s">
        <v>10</v>
      </c>
      <c r="G1684" s="5" t="s">
        <v>11</v>
      </c>
      <c r="H1684" s="3" t="s">
        <v>2109</v>
      </c>
    </row>
    <row r="1685" spans="1:8" ht="27.6" x14ac:dyDescent="0.25">
      <c r="A1685" s="3" t="s">
        <v>1890</v>
      </c>
      <c r="B1685" s="3" t="s">
        <v>2110</v>
      </c>
      <c r="C1685" s="4" t="str">
        <f>HYPERLINK("http://www.rncp.cncp.gouv.fr/grand-public/visualisationFiche?format=fr&amp;fiche=13866","13866")</f>
        <v>13866</v>
      </c>
      <c r="D1685" s="4" t="str">
        <f>HYPERLINK("http://www.intercariforef.org/formations/certification-49196.html","49196")</f>
        <v>49196</v>
      </c>
      <c r="E1685" s="5">
        <v>161353</v>
      </c>
      <c r="F1685" s="5" t="s">
        <v>10</v>
      </c>
      <c r="G1685" s="5" t="s">
        <v>11</v>
      </c>
      <c r="H1685" s="3" t="s">
        <v>2111</v>
      </c>
    </row>
    <row r="1686" spans="1:8" ht="27.6" x14ac:dyDescent="0.25">
      <c r="A1686" s="3" t="s">
        <v>1890</v>
      </c>
      <c r="B1686" s="3" t="s">
        <v>2112</v>
      </c>
      <c r="C1686" s="4" t="str">
        <f>HYPERLINK("http://www.rncp.cncp.gouv.fr/grand-public/visualisationFiche?format=fr&amp;fiche=13866","13866")</f>
        <v>13866</v>
      </c>
      <c r="D1686" s="4" t="str">
        <f>HYPERLINK("http://www.intercariforef.org/formations/certification-49197.html","49197")</f>
        <v>49197</v>
      </c>
      <c r="E1686" s="5">
        <v>161354</v>
      </c>
      <c r="F1686" s="5" t="s">
        <v>10</v>
      </c>
      <c r="G1686" s="5" t="s">
        <v>11</v>
      </c>
      <c r="H1686" s="3" t="s">
        <v>2113</v>
      </c>
    </row>
    <row r="1687" spans="1:8" ht="27.6" x14ac:dyDescent="0.25">
      <c r="A1687" s="3" t="s">
        <v>1890</v>
      </c>
      <c r="B1687" s="3" t="s">
        <v>2114</v>
      </c>
      <c r="C1687" s="4" t="str">
        <f>HYPERLINK("http://www.rncp.cncp.gouv.fr/grand-public/visualisationFiche?format=fr&amp;fiche=13865","13865")</f>
        <v>13865</v>
      </c>
      <c r="D1687" s="4" t="str">
        <f>HYPERLINK("http://www.intercariforef.org/formations/certification-74744.html","74744")</f>
        <v>74744</v>
      </c>
      <c r="E1687" s="5">
        <v>161356</v>
      </c>
      <c r="F1687" s="5" t="s">
        <v>10</v>
      </c>
      <c r="G1687" s="5" t="s">
        <v>11</v>
      </c>
      <c r="H1687" s="3" t="s">
        <v>1160</v>
      </c>
    </row>
    <row r="1688" spans="1:8" ht="27.6" x14ac:dyDescent="0.25">
      <c r="A1688" s="3" t="s">
        <v>1890</v>
      </c>
      <c r="B1688" s="3" t="s">
        <v>2115</v>
      </c>
      <c r="C1688" s="4" t="str">
        <f>HYPERLINK("http://www.rncp.cncp.gouv.fr/grand-public/visualisationFiche?format=fr&amp;fiche=4861","4861")</f>
        <v>4861</v>
      </c>
      <c r="D1688" s="4" t="str">
        <f>HYPERLINK("http://www.intercariforef.org/formations/certification-18733.html","18733")</f>
        <v>18733</v>
      </c>
      <c r="E1688" s="5">
        <v>2389</v>
      </c>
      <c r="F1688" s="5" t="s">
        <v>10</v>
      </c>
      <c r="G1688" s="5" t="s">
        <v>11</v>
      </c>
      <c r="H1688" s="3" t="s">
        <v>2107</v>
      </c>
    </row>
    <row r="1689" spans="1:8" ht="13.8" x14ac:dyDescent="0.25">
      <c r="A1689" s="3" t="s">
        <v>1890</v>
      </c>
      <c r="B1689" s="3" t="s">
        <v>2116</v>
      </c>
      <c r="C1689" s="4" t="str">
        <f>HYPERLINK("http://www.rncp.cncp.gouv.fr/grand-public/visualisationFiche?format=fr&amp;fiche=4501","4501")</f>
        <v>4501</v>
      </c>
      <c r="D1689" s="4" t="str">
        <f>HYPERLINK("http://www.intercariforef.org/formations/certification-23715.html","23715")</f>
        <v>23715</v>
      </c>
      <c r="E1689" s="5">
        <v>130997</v>
      </c>
      <c r="F1689" s="5" t="s">
        <v>10</v>
      </c>
      <c r="G1689" s="5" t="s">
        <v>11</v>
      </c>
      <c r="H1689" s="3" t="s">
        <v>25</v>
      </c>
    </row>
    <row r="1690" spans="1:8" ht="27.6" x14ac:dyDescent="0.25">
      <c r="A1690" s="3" t="s">
        <v>1890</v>
      </c>
      <c r="B1690" s="3" t="s">
        <v>2117</v>
      </c>
      <c r="C1690" s="4" t="str">
        <f>HYPERLINK("http://www.rncp.cncp.gouv.fr/grand-public/visualisationFiche?format=fr&amp;fiche=2348","2348")</f>
        <v>2348</v>
      </c>
      <c r="D1690" s="4" t="str">
        <f>HYPERLINK("http://www.intercariforef.org/formations/certification-20120.html","20120")</f>
        <v>20120</v>
      </c>
      <c r="E1690" s="5">
        <v>131000</v>
      </c>
      <c r="F1690" s="5" t="s">
        <v>10</v>
      </c>
      <c r="G1690" s="5" t="s">
        <v>11</v>
      </c>
      <c r="H1690" s="3" t="s">
        <v>2118</v>
      </c>
    </row>
    <row r="1691" spans="1:8" ht="27.6" x14ac:dyDescent="0.25">
      <c r="A1691" s="3" t="s">
        <v>1890</v>
      </c>
      <c r="B1691" s="3" t="s">
        <v>2119</v>
      </c>
      <c r="C1691" s="4" t="str">
        <f>HYPERLINK("http://www.rncp.cncp.gouv.fr/grand-public/visualisationFiche?format=fr&amp;fiche=4502","4502")</f>
        <v>4502</v>
      </c>
      <c r="D1691" s="4" t="str">
        <f>HYPERLINK("http://www.intercariforef.org/formations/certification-53277.html","53277")</f>
        <v>53277</v>
      </c>
      <c r="E1691" s="5">
        <v>161357</v>
      </c>
      <c r="F1691" s="5" t="s">
        <v>10</v>
      </c>
      <c r="G1691" s="5" t="s">
        <v>11</v>
      </c>
      <c r="H1691" s="3" t="s">
        <v>2120</v>
      </c>
    </row>
    <row r="1692" spans="1:8" ht="27.6" x14ac:dyDescent="0.25">
      <c r="A1692" s="3" t="s">
        <v>1890</v>
      </c>
      <c r="B1692" s="3" t="s">
        <v>2121</v>
      </c>
      <c r="C1692" s="5"/>
      <c r="D1692" s="4" t="str">
        <f>HYPERLINK("http://www.intercariforef.org/formations/certification-23717.html","23717")</f>
        <v>23717</v>
      </c>
      <c r="E1692" s="5">
        <v>161352</v>
      </c>
      <c r="F1692" s="5" t="s">
        <v>10</v>
      </c>
      <c r="G1692" s="5" t="s">
        <v>11</v>
      </c>
      <c r="H1692" s="3" t="s">
        <v>2122</v>
      </c>
    </row>
    <row r="1693" spans="1:8" ht="13.8" x14ac:dyDescent="0.25">
      <c r="A1693" s="3" t="s">
        <v>1890</v>
      </c>
      <c r="B1693" s="3" t="s">
        <v>2123</v>
      </c>
      <c r="C1693" s="4" t="str">
        <f>HYPERLINK("http://www.rncp.cncp.gouv.fr/grand-public/visualisationFiche?format=fr&amp;fiche=12977","12977")</f>
        <v>12977</v>
      </c>
      <c r="D1693" s="4" t="str">
        <f>HYPERLINK("http://www.intercariforef.org/formations/certification-76235.html","76235")</f>
        <v>76235</v>
      </c>
      <c r="E1693" s="5">
        <v>2390</v>
      </c>
      <c r="F1693" s="5" t="s">
        <v>10</v>
      </c>
      <c r="G1693" s="5" t="s">
        <v>11</v>
      </c>
      <c r="H1693" s="3" t="s">
        <v>2124</v>
      </c>
    </row>
    <row r="1694" spans="1:8" ht="13.8" x14ac:dyDescent="0.25">
      <c r="A1694" s="3" t="s">
        <v>1890</v>
      </c>
      <c r="B1694" s="3" t="s">
        <v>2125</v>
      </c>
      <c r="C1694" s="4" t="str">
        <f>HYPERLINK("http://www.rncp.cncp.gouv.fr/grand-public/visualisationFiche?format=fr&amp;fiche=19193","19193")</f>
        <v>19193</v>
      </c>
      <c r="D1694" s="4" t="str">
        <f>HYPERLINK("http://www.intercariforef.org/formations/certification-83192.html","83192")</f>
        <v>83192</v>
      </c>
      <c r="E1694" s="5">
        <v>144398</v>
      </c>
      <c r="F1694" s="5" t="s">
        <v>10</v>
      </c>
      <c r="G1694" s="5" t="s">
        <v>11</v>
      </c>
      <c r="H1694" s="3" t="s">
        <v>2126</v>
      </c>
    </row>
    <row r="1695" spans="1:8" ht="13.8" x14ac:dyDescent="0.25">
      <c r="A1695" s="3" t="s">
        <v>1890</v>
      </c>
      <c r="B1695" s="3" t="s">
        <v>2127</v>
      </c>
      <c r="C1695" s="4" t="str">
        <f>HYPERLINK("http://www.rncp.cncp.gouv.fr/grand-public/visualisationFiche?format=fr&amp;fiche=819","819")</f>
        <v>819</v>
      </c>
      <c r="D1695" s="4" t="str">
        <f>HYPERLINK("http://www.intercariforef.org/formations/certification-19094.html","19094")</f>
        <v>19094</v>
      </c>
      <c r="E1695" s="5">
        <v>155016</v>
      </c>
      <c r="F1695" s="5" t="s">
        <v>10</v>
      </c>
      <c r="G1695" s="5" t="s">
        <v>11</v>
      </c>
      <c r="H1695" s="3" t="s">
        <v>71</v>
      </c>
    </row>
    <row r="1696" spans="1:8" ht="13.8" x14ac:dyDescent="0.25">
      <c r="A1696" s="3" t="s">
        <v>1890</v>
      </c>
      <c r="B1696" s="3" t="s">
        <v>2128</v>
      </c>
      <c r="C1696" s="4" t="str">
        <f>HYPERLINK("http://www.rncp.cncp.gouv.fr/grand-public/visualisationFiche?format=fr&amp;fiche=839","839")</f>
        <v>839</v>
      </c>
      <c r="D1696" s="4" t="str">
        <f>HYPERLINK("http://www.intercariforef.org/formations/certification-46620.html","46620")</f>
        <v>46620</v>
      </c>
      <c r="E1696" s="5">
        <v>144399</v>
      </c>
      <c r="F1696" s="5" t="s">
        <v>10</v>
      </c>
      <c r="G1696" s="5" t="s">
        <v>11</v>
      </c>
      <c r="H1696" s="3" t="s">
        <v>71</v>
      </c>
    </row>
    <row r="1697" spans="1:8" ht="13.8" x14ac:dyDescent="0.25">
      <c r="A1697" s="3" t="s">
        <v>1890</v>
      </c>
      <c r="B1697" s="3" t="s">
        <v>2129</v>
      </c>
      <c r="C1697" s="4" t="str">
        <f>HYPERLINK("http://www.rncp.cncp.gouv.fr/grand-public/visualisationFiche?format=fr&amp;fiche=828","828")</f>
        <v>828</v>
      </c>
      <c r="D1697" s="4" t="str">
        <f>HYPERLINK("http://www.intercariforef.org/formations/certification-19101.html","19101")</f>
        <v>19101</v>
      </c>
      <c r="E1697" s="5">
        <v>144401</v>
      </c>
      <c r="F1697" s="5" t="s">
        <v>10</v>
      </c>
      <c r="G1697" s="5" t="s">
        <v>11</v>
      </c>
      <c r="H1697" s="3" t="s">
        <v>71</v>
      </c>
    </row>
    <row r="1698" spans="1:8" ht="13.8" x14ac:dyDescent="0.25">
      <c r="A1698" s="3" t="s">
        <v>1890</v>
      </c>
      <c r="B1698" s="3" t="s">
        <v>2130</v>
      </c>
      <c r="C1698" s="4" t="str">
        <f>HYPERLINK("http://www.rncp.cncp.gouv.fr/grand-public/visualisationFiche?format=fr&amp;fiche=838","838")</f>
        <v>838</v>
      </c>
      <c r="D1698" s="4" t="str">
        <f>HYPERLINK("http://www.intercariforef.org/formations/certification-19105.html","19105")</f>
        <v>19105</v>
      </c>
      <c r="E1698" s="5">
        <v>144400</v>
      </c>
      <c r="F1698" s="5" t="s">
        <v>10</v>
      </c>
      <c r="G1698" s="5" t="s">
        <v>11</v>
      </c>
      <c r="H1698" s="3" t="s">
        <v>71</v>
      </c>
    </row>
    <row r="1699" spans="1:8" ht="13.8" x14ac:dyDescent="0.25">
      <c r="A1699" s="3" t="s">
        <v>1890</v>
      </c>
      <c r="B1699" s="3" t="s">
        <v>2131</v>
      </c>
      <c r="C1699" s="4" t="str">
        <f>HYPERLINK("http://www.rncp.cncp.gouv.fr/grand-public/visualisationFiche?format=fr&amp;fiche=842","842")</f>
        <v>842</v>
      </c>
      <c r="D1699" s="4" t="str">
        <f>HYPERLINK("http://www.intercariforef.org/formations/certification-19106.html","19106")</f>
        <v>19106</v>
      </c>
      <c r="E1699" s="5">
        <v>144402</v>
      </c>
      <c r="F1699" s="5" t="s">
        <v>10</v>
      </c>
      <c r="G1699" s="5" t="s">
        <v>11</v>
      </c>
      <c r="H1699" s="3" t="s">
        <v>71</v>
      </c>
    </row>
    <row r="1700" spans="1:8" ht="13.8" x14ac:dyDescent="0.25">
      <c r="A1700" s="3" t="s">
        <v>1890</v>
      </c>
      <c r="B1700" s="3" t="s">
        <v>2132</v>
      </c>
      <c r="C1700" s="4" t="str">
        <f>HYPERLINK("http://www.rncp.cncp.gouv.fr/grand-public/visualisationFiche?format=fr&amp;fiche=843","843")</f>
        <v>843</v>
      </c>
      <c r="D1700" s="4" t="str">
        <f>HYPERLINK("http://www.intercariforef.org/formations/certification-19108.html","19108")</f>
        <v>19108</v>
      </c>
      <c r="E1700" s="5">
        <v>144403</v>
      </c>
      <c r="F1700" s="5" t="s">
        <v>10</v>
      </c>
      <c r="G1700" s="5" t="s">
        <v>11</v>
      </c>
      <c r="H1700" s="3" t="s">
        <v>71</v>
      </c>
    </row>
    <row r="1701" spans="1:8" ht="13.8" x14ac:dyDescent="0.25">
      <c r="A1701" s="3" t="s">
        <v>1890</v>
      </c>
      <c r="B1701" s="3" t="s">
        <v>2133</v>
      </c>
      <c r="C1701" s="4" t="str">
        <f>HYPERLINK("http://www.rncp.cncp.gouv.fr/grand-public/visualisationFiche?format=fr&amp;fiche=830","830")</f>
        <v>830</v>
      </c>
      <c r="D1701" s="4" t="str">
        <f>HYPERLINK("http://www.intercariforef.org/formations/certification-19114.html","19114")</f>
        <v>19114</v>
      </c>
      <c r="E1701" s="5">
        <v>2391</v>
      </c>
      <c r="F1701" s="5" t="s">
        <v>10</v>
      </c>
      <c r="G1701" s="5" t="s">
        <v>11</v>
      </c>
      <c r="H1701" s="3" t="s">
        <v>71</v>
      </c>
    </row>
    <row r="1702" spans="1:8" ht="13.8" x14ac:dyDescent="0.25">
      <c r="A1702" s="3" t="s">
        <v>1890</v>
      </c>
      <c r="B1702" s="3" t="s">
        <v>2134</v>
      </c>
      <c r="C1702" s="4" t="str">
        <f>HYPERLINK("http://www.rncp.cncp.gouv.fr/grand-public/visualisationFiche?format=fr&amp;fiche=912","912")</f>
        <v>912</v>
      </c>
      <c r="D1702" s="4" t="str">
        <f>HYPERLINK("http://www.intercariforef.org/formations/certification-19119.html","19119")</f>
        <v>19119</v>
      </c>
      <c r="E1702" s="5">
        <v>144404</v>
      </c>
      <c r="F1702" s="5" t="s">
        <v>10</v>
      </c>
      <c r="G1702" s="5" t="s">
        <v>11</v>
      </c>
      <c r="H1702" s="3" t="s">
        <v>71</v>
      </c>
    </row>
    <row r="1703" spans="1:8" ht="13.8" x14ac:dyDescent="0.25">
      <c r="A1703" s="3" t="s">
        <v>1890</v>
      </c>
      <c r="B1703" s="3" t="s">
        <v>2135</v>
      </c>
      <c r="C1703" s="4" t="str">
        <f>HYPERLINK("http://www.rncp.cncp.gouv.fr/grand-public/visualisationFiche?format=fr&amp;fiche=4000","4000")</f>
        <v>4000</v>
      </c>
      <c r="D1703" s="4" t="str">
        <f>HYPERLINK("http://www.intercariforef.org/formations/certification-19120.html","19120")</f>
        <v>19120</v>
      </c>
      <c r="E1703" s="5">
        <v>144405</v>
      </c>
      <c r="F1703" s="5" t="s">
        <v>10</v>
      </c>
      <c r="G1703" s="5" t="s">
        <v>11</v>
      </c>
      <c r="H1703" s="3" t="s">
        <v>71</v>
      </c>
    </row>
    <row r="1704" spans="1:8" ht="13.8" x14ac:dyDescent="0.25">
      <c r="A1704" s="3" t="s">
        <v>1890</v>
      </c>
      <c r="B1704" s="3" t="s">
        <v>2136</v>
      </c>
      <c r="C1704" s="4" t="str">
        <f>HYPERLINK("http://www.rncp.cncp.gouv.fr/grand-public/visualisationFiche?format=fr&amp;fiche=11925","11925")</f>
        <v>11925</v>
      </c>
      <c r="D1704" s="4" t="str">
        <f>HYPERLINK("http://www.intercariforef.org/formations/certification-73816.html","73816")</f>
        <v>73816</v>
      </c>
      <c r="E1704" s="5">
        <v>2392</v>
      </c>
      <c r="F1704" s="5" t="s">
        <v>10</v>
      </c>
      <c r="G1704" s="5" t="s">
        <v>11</v>
      </c>
      <c r="H1704" s="3" t="s">
        <v>34</v>
      </c>
    </row>
    <row r="1705" spans="1:8" ht="13.8" x14ac:dyDescent="0.25">
      <c r="A1705" s="3" t="s">
        <v>1890</v>
      </c>
      <c r="B1705" s="3" t="s">
        <v>2137</v>
      </c>
      <c r="C1705" s="4" t="str">
        <f>HYPERLINK("http://www.rncp.cncp.gouv.fr/grand-public/visualisationFiche?format=fr&amp;fiche=2950","2950")</f>
        <v>2950</v>
      </c>
      <c r="D1705" s="4" t="str">
        <f>HYPERLINK("http://www.intercariforef.org/formations/certification-78900.html","78900")</f>
        <v>78900</v>
      </c>
      <c r="E1705" s="5">
        <v>130995</v>
      </c>
      <c r="F1705" s="5" t="s">
        <v>10</v>
      </c>
      <c r="G1705" s="5" t="s">
        <v>11</v>
      </c>
      <c r="H1705" s="3" t="s">
        <v>71</v>
      </c>
    </row>
    <row r="1706" spans="1:8" ht="13.8" x14ac:dyDescent="0.25">
      <c r="A1706" s="3" t="s">
        <v>1890</v>
      </c>
      <c r="B1706" s="3" t="s">
        <v>2138</v>
      </c>
      <c r="C1706" s="4" t="str">
        <f>HYPERLINK("http://www.rncp.cncp.gouv.fr/grand-public/visualisationFiche?format=fr&amp;fiche=2541","2541")</f>
        <v>2541</v>
      </c>
      <c r="D1706" s="4" t="str">
        <f>HYPERLINK("http://www.intercariforef.org/formations/certification-81371.html","81371")</f>
        <v>81371</v>
      </c>
      <c r="E1706" s="5">
        <v>131001</v>
      </c>
      <c r="F1706" s="5" t="s">
        <v>10</v>
      </c>
      <c r="G1706" s="5" t="s">
        <v>11</v>
      </c>
      <c r="H1706" s="3" t="s">
        <v>71</v>
      </c>
    </row>
    <row r="1707" spans="1:8" ht="13.8" x14ac:dyDescent="0.25">
      <c r="A1707" s="3" t="s">
        <v>1890</v>
      </c>
      <c r="B1707" s="3" t="s">
        <v>2139</v>
      </c>
      <c r="C1707" s="4" t="str">
        <f>HYPERLINK("http://www.rncp.cncp.gouv.fr/grand-public/visualisationFiche?format=fr&amp;fiche=2541","2541")</f>
        <v>2541</v>
      </c>
      <c r="D1707" s="4" t="str">
        <f>HYPERLINK("http://www.intercariforef.org/formations/certification-19183.html","19183")</f>
        <v>19183</v>
      </c>
      <c r="E1707" s="5">
        <v>2436</v>
      </c>
      <c r="F1707" s="5" t="s">
        <v>10</v>
      </c>
      <c r="G1707" s="5" t="s">
        <v>11</v>
      </c>
      <c r="H1707" s="3" t="s">
        <v>71</v>
      </c>
    </row>
    <row r="1708" spans="1:8" ht="13.8" x14ac:dyDescent="0.25">
      <c r="A1708" s="3" t="s">
        <v>1890</v>
      </c>
      <c r="B1708" s="3" t="s">
        <v>2140</v>
      </c>
      <c r="C1708" s="4" t="str">
        <f>HYPERLINK("http://www.rncp.cncp.gouv.fr/grand-public/visualisationFiche?format=fr&amp;fiche=2481","2481")</f>
        <v>2481</v>
      </c>
      <c r="D1708" s="4" t="str">
        <f>HYPERLINK("http://www.intercariforef.org/formations/certification-81478.html","81478")</f>
        <v>81478</v>
      </c>
      <c r="E1708" s="5">
        <v>161358</v>
      </c>
      <c r="F1708" s="5" t="s">
        <v>10</v>
      </c>
      <c r="G1708" s="5" t="s">
        <v>11</v>
      </c>
      <c r="H1708" s="3" t="s">
        <v>71</v>
      </c>
    </row>
    <row r="1709" spans="1:8" ht="13.8" x14ac:dyDescent="0.25">
      <c r="A1709" s="3" t="s">
        <v>1890</v>
      </c>
      <c r="B1709" s="3" t="s">
        <v>2141</v>
      </c>
      <c r="C1709" s="4" t="str">
        <f>HYPERLINK("http://www.rncp.cncp.gouv.fr/grand-public/visualisationFiche?format=fr&amp;fiche=2480","2480")</f>
        <v>2480</v>
      </c>
      <c r="D1709" s="4" t="str">
        <f>HYPERLINK("http://www.intercariforef.org/formations/certification-81479.html","81479")</f>
        <v>81479</v>
      </c>
      <c r="E1709" s="5">
        <v>161359</v>
      </c>
      <c r="F1709" s="5" t="s">
        <v>10</v>
      </c>
      <c r="G1709" s="5" t="s">
        <v>11</v>
      </c>
      <c r="H1709" s="3" t="s">
        <v>71</v>
      </c>
    </row>
    <row r="1710" spans="1:8" ht="13.8" x14ac:dyDescent="0.25">
      <c r="A1710" s="3" t="s">
        <v>1890</v>
      </c>
      <c r="B1710" s="3" t="s">
        <v>2142</v>
      </c>
      <c r="C1710" s="4" t="str">
        <f>HYPERLINK("http://www.rncp.cncp.gouv.fr/grand-public/visualisationFiche?format=fr&amp;fiche=2468","2468")</f>
        <v>2468</v>
      </c>
      <c r="D1710" s="4" t="str">
        <f>HYPERLINK("http://www.intercariforef.org/formations/certification-19199.html","19199")</f>
        <v>19199</v>
      </c>
      <c r="E1710" s="5">
        <v>2393</v>
      </c>
      <c r="F1710" s="5" t="s">
        <v>10</v>
      </c>
      <c r="G1710" s="5" t="s">
        <v>11</v>
      </c>
      <c r="H1710" s="3" t="s">
        <v>71</v>
      </c>
    </row>
    <row r="1711" spans="1:8" ht="13.8" x14ac:dyDescent="0.25">
      <c r="A1711" s="3" t="s">
        <v>1890</v>
      </c>
      <c r="B1711" s="3" t="s">
        <v>2143</v>
      </c>
      <c r="C1711" s="4" t="str">
        <f>HYPERLINK("http://www.rncp.cncp.gouv.fr/grand-public/visualisationFiche?format=fr&amp;fiche=2470","2470")</f>
        <v>2470</v>
      </c>
      <c r="D1711" s="4" t="str">
        <f>HYPERLINK("http://www.intercariforef.org/formations/certification-19200.html","19200")</f>
        <v>19200</v>
      </c>
      <c r="E1711" s="5">
        <v>2394</v>
      </c>
      <c r="F1711" s="5" t="s">
        <v>10</v>
      </c>
      <c r="G1711" s="5" t="s">
        <v>11</v>
      </c>
      <c r="H1711" s="3" t="s">
        <v>71</v>
      </c>
    </row>
    <row r="1712" spans="1:8" ht="13.8" x14ac:dyDescent="0.25">
      <c r="A1712" s="3" t="s">
        <v>1890</v>
      </c>
      <c r="B1712" s="3" t="s">
        <v>2144</v>
      </c>
      <c r="C1712" s="4" t="str">
        <f>HYPERLINK("http://www.rncp.cncp.gouv.fr/grand-public/visualisationFiche?format=fr&amp;fiche=2471","2471")</f>
        <v>2471</v>
      </c>
      <c r="D1712" s="4" t="str">
        <f>HYPERLINK("http://www.intercariforef.org/formations/certification-71621.html","71621")</f>
        <v>71621</v>
      </c>
      <c r="E1712" s="5">
        <v>2395</v>
      </c>
      <c r="F1712" s="5" t="s">
        <v>10</v>
      </c>
      <c r="G1712" s="5" t="s">
        <v>11</v>
      </c>
      <c r="H1712" s="3" t="s">
        <v>71</v>
      </c>
    </row>
    <row r="1713" spans="1:8" ht="13.8" x14ac:dyDescent="0.25">
      <c r="A1713" s="3" t="s">
        <v>1890</v>
      </c>
      <c r="B1713" s="3" t="s">
        <v>2145</v>
      </c>
      <c r="C1713" s="4" t="str">
        <f>HYPERLINK("http://www.rncp.cncp.gouv.fr/grand-public/visualisationFiche?format=fr&amp;fiche=2922","2922")</f>
        <v>2922</v>
      </c>
      <c r="D1713" s="4" t="str">
        <f>HYPERLINK("http://www.intercariforef.org/formations/certification-19211.html","19211")</f>
        <v>19211</v>
      </c>
      <c r="E1713" s="5">
        <v>2406</v>
      </c>
      <c r="F1713" s="5" t="s">
        <v>10</v>
      </c>
      <c r="G1713" s="5" t="s">
        <v>11</v>
      </c>
      <c r="H1713" s="3" t="s">
        <v>71</v>
      </c>
    </row>
    <row r="1714" spans="1:8" ht="13.8" x14ac:dyDescent="0.25">
      <c r="A1714" s="3" t="s">
        <v>1890</v>
      </c>
      <c r="B1714" s="3" t="s">
        <v>2146</v>
      </c>
      <c r="C1714" s="4" t="str">
        <f>HYPERLINK("http://www.rncp.cncp.gouv.fr/grand-public/visualisationFiche?format=fr&amp;fiche=2923","2923")</f>
        <v>2923</v>
      </c>
      <c r="D1714" s="4" t="str">
        <f>HYPERLINK("http://www.intercariforef.org/formations/certification-81385.html","81385")</f>
        <v>81385</v>
      </c>
      <c r="E1714" s="5">
        <v>130998</v>
      </c>
      <c r="F1714" s="5" t="s">
        <v>10</v>
      </c>
      <c r="G1714" s="5" t="s">
        <v>11</v>
      </c>
      <c r="H1714" s="3" t="s">
        <v>71</v>
      </c>
    </row>
    <row r="1715" spans="1:8" ht="27.6" x14ac:dyDescent="0.25">
      <c r="A1715" s="3" t="s">
        <v>1890</v>
      </c>
      <c r="B1715" s="3" t="s">
        <v>2147</v>
      </c>
      <c r="C1715" s="4" t="str">
        <f>HYPERLINK("http://www.rncp.cncp.gouv.fr/grand-public/visualisationFiche?format=fr&amp;fiche=2923","2923")</f>
        <v>2923</v>
      </c>
      <c r="D1715" s="4" t="str">
        <f>HYPERLINK("http://www.intercariforef.org/formations/certification-19212.html","19212")</f>
        <v>19212</v>
      </c>
      <c r="E1715" s="5">
        <v>2407</v>
      </c>
      <c r="F1715" s="5" t="s">
        <v>10</v>
      </c>
      <c r="G1715" s="5" t="s">
        <v>11</v>
      </c>
      <c r="H1715" s="3" t="s">
        <v>71</v>
      </c>
    </row>
    <row r="1716" spans="1:8" ht="13.8" x14ac:dyDescent="0.25">
      <c r="A1716" s="3" t="s">
        <v>1890</v>
      </c>
      <c r="B1716" s="3" t="s">
        <v>2148</v>
      </c>
      <c r="C1716" s="4" t="str">
        <f>HYPERLINK("http://www.rncp.cncp.gouv.fr/grand-public/visualisationFiche?format=fr&amp;fiche=2924","2924")</f>
        <v>2924</v>
      </c>
      <c r="D1716" s="4" t="str">
        <f>HYPERLINK("http://www.intercariforef.org/formations/certification-81386.html","81386")</f>
        <v>81386</v>
      </c>
      <c r="E1716" s="5">
        <v>130999</v>
      </c>
      <c r="F1716" s="5" t="s">
        <v>10</v>
      </c>
      <c r="G1716" s="5" t="s">
        <v>11</v>
      </c>
      <c r="H1716" s="3" t="s">
        <v>71</v>
      </c>
    </row>
    <row r="1717" spans="1:8" ht="13.8" x14ac:dyDescent="0.25">
      <c r="A1717" s="3" t="s">
        <v>1890</v>
      </c>
      <c r="B1717" s="3" t="s">
        <v>2149</v>
      </c>
      <c r="C1717" s="4" t="str">
        <f>HYPERLINK("http://www.rncp.cncp.gouv.fr/grand-public/visualisationFiche?format=fr&amp;fiche=2925","2925")</f>
        <v>2925</v>
      </c>
      <c r="D1717" s="4" t="str">
        <f>HYPERLINK("http://www.intercariforef.org/formations/certification-19215.html","19215")</f>
        <v>19215</v>
      </c>
      <c r="E1717" s="5">
        <v>2404</v>
      </c>
      <c r="F1717" s="5" t="s">
        <v>10</v>
      </c>
      <c r="G1717" s="5" t="s">
        <v>11</v>
      </c>
      <c r="H1717" s="3" t="s">
        <v>71</v>
      </c>
    </row>
    <row r="1718" spans="1:8" ht="13.8" x14ac:dyDescent="0.25">
      <c r="A1718" s="3" t="s">
        <v>1890</v>
      </c>
      <c r="B1718" s="3" t="s">
        <v>2150</v>
      </c>
      <c r="C1718" s="4" t="str">
        <f>HYPERLINK("http://www.rncp.cncp.gouv.fr/grand-public/visualisationFiche?format=fr&amp;fiche=2921","2921")</f>
        <v>2921</v>
      </c>
      <c r="D1718" s="4" t="str">
        <f>HYPERLINK("http://www.intercariforef.org/formations/certification-19216.html","19216")</f>
        <v>19216</v>
      </c>
      <c r="E1718" s="5">
        <v>2405</v>
      </c>
      <c r="F1718" s="5" t="s">
        <v>10</v>
      </c>
      <c r="G1718" s="5" t="s">
        <v>11</v>
      </c>
      <c r="H1718" s="3" t="s">
        <v>71</v>
      </c>
    </row>
    <row r="1719" spans="1:8" ht="13.8" x14ac:dyDescent="0.25">
      <c r="A1719" s="3" t="s">
        <v>1890</v>
      </c>
      <c r="B1719" s="3" t="s">
        <v>2151</v>
      </c>
      <c r="C1719" s="4" t="str">
        <f>HYPERLINK("http://www.rncp.cncp.gouv.fr/grand-public/visualisationFiche?format=fr&amp;fiche=2467","2467")</f>
        <v>2467</v>
      </c>
      <c r="D1719" s="4" t="str">
        <f>HYPERLINK("http://www.intercariforef.org/formations/certification-19223.html","19223")</f>
        <v>19223</v>
      </c>
      <c r="E1719" s="5">
        <v>2408</v>
      </c>
      <c r="F1719" s="5" t="s">
        <v>10</v>
      </c>
      <c r="G1719" s="5" t="s">
        <v>11</v>
      </c>
      <c r="H1719" s="3" t="s">
        <v>71</v>
      </c>
    </row>
    <row r="1720" spans="1:8" ht="13.8" x14ac:dyDescent="0.25">
      <c r="A1720" s="3" t="s">
        <v>1890</v>
      </c>
      <c r="B1720" s="3" t="s">
        <v>2152</v>
      </c>
      <c r="C1720" s="4" t="str">
        <f>HYPERLINK("http://www.rncp.cncp.gouv.fr/grand-public/visualisationFiche?format=fr&amp;fiche=2476","2476")</f>
        <v>2476</v>
      </c>
      <c r="D1720" s="4" t="str">
        <f>HYPERLINK("http://www.intercariforef.org/formations/certification-19224.html","19224")</f>
        <v>19224</v>
      </c>
      <c r="E1720" s="5">
        <v>2409</v>
      </c>
      <c r="F1720" s="5" t="s">
        <v>10</v>
      </c>
      <c r="G1720" s="5" t="s">
        <v>11</v>
      </c>
      <c r="H1720" s="3" t="s">
        <v>71</v>
      </c>
    </row>
    <row r="1721" spans="1:8" ht="13.8" x14ac:dyDescent="0.25">
      <c r="A1721" s="3" t="s">
        <v>1890</v>
      </c>
      <c r="B1721" s="3" t="s">
        <v>2153</v>
      </c>
      <c r="C1721" s="4" t="str">
        <f>HYPERLINK("http://www.rncp.cncp.gouv.fr/grand-public/visualisationFiche?format=fr&amp;fiche=2683","2683")</f>
        <v>2683</v>
      </c>
      <c r="D1721" s="4" t="str">
        <f>HYPERLINK("http://www.intercariforef.org/formations/certification-73630.html","73630")</f>
        <v>73630</v>
      </c>
      <c r="E1721" s="5">
        <v>2411</v>
      </c>
      <c r="F1721" s="5" t="s">
        <v>10</v>
      </c>
      <c r="G1721" s="5" t="s">
        <v>11</v>
      </c>
      <c r="H1721" s="3" t="s">
        <v>71</v>
      </c>
    </row>
    <row r="1722" spans="1:8" ht="13.8" x14ac:dyDescent="0.25">
      <c r="A1722" s="3" t="s">
        <v>1890</v>
      </c>
      <c r="B1722" s="3" t="s">
        <v>2154</v>
      </c>
      <c r="C1722" s="5"/>
      <c r="D1722" s="4" t="str">
        <f>HYPERLINK("http://www.intercariforef.org/formations/certification-73632.html","73632")</f>
        <v>73632</v>
      </c>
      <c r="E1722" s="5">
        <v>2410</v>
      </c>
      <c r="F1722" s="5" t="s">
        <v>10</v>
      </c>
      <c r="G1722" s="5" t="s">
        <v>11</v>
      </c>
      <c r="H1722" s="3" t="s">
        <v>71</v>
      </c>
    </row>
    <row r="1723" spans="1:8" ht="13.8" x14ac:dyDescent="0.25">
      <c r="A1723" s="3" t="s">
        <v>1890</v>
      </c>
      <c r="B1723" s="3" t="s">
        <v>2155</v>
      </c>
      <c r="C1723" s="4" t="str">
        <f>HYPERLINK("http://www.rncp.cncp.gouv.fr/grand-public/visualisationFiche?format=fr&amp;fiche=4379","4379")</f>
        <v>4379</v>
      </c>
      <c r="D1723" s="4" t="str">
        <f>HYPERLINK("http://www.intercariforef.org/formations/certification-46628.html","46628")</f>
        <v>46628</v>
      </c>
      <c r="E1723" s="5">
        <v>2416</v>
      </c>
      <c r="F1723" s="5" t="s">
        <v>10</v>
      </c>
      <c r="G1723" s="5" t="s">
        <v>11</v>
      </c>
      <c r="H1723" s="3" t="s">
        <v>71</v>
      </c>
    </row>
    <row r="1724" spans="1:8" ht="13.8" x14ac:dyDescent="0.25">
      <c r="A1724" s="3" t="s">
        <v>1890</v>
      </c>
      <c r="B1724" s="3" t="s">
        <v>2156</v>
      </c>
      <c r="C1724" s="4" t="str">
        <f>HYPERLINK("http://www.rncp.cncp.gouv.fr/grand-public/visualisationFiche?format=fr&amp;fiche=2926","2926")</f>
        <v>2926</v>
      </c>
      <c r="D1724" s="4" t="str">
        <f>HYPERLINK("http://www.intercariforef.org/formations/certification-19248.html","19248")</f>
        <v>19248</v>
      </c>
      <c r="E1724" s="5">
        <v>2417</v>
      </c>
      <c r="F1724" s="5" t="s">
        <v>10</v>
      </c>
      <c r="G1724" s="5" t="s">
        <v>11</v>
      </c>
      <c r="H1724" s="3" t="s">
        <v>71</v>
      </c>
    </row>
    <row r="1725" spans="1:8" ht="13.8" x14ac:dyDescent="0.25">
      <c r="A1725" s="3" t="s">
        <v>1890</v>
      </c>
      <c r="B1725" s="3" t="s">
        <v>2157</v>
      </c>
      <c r="C1725" s="4" t="str">
        <f>HYPERLINK("http://www.rncp.cncp.gouv.fr/grand-public/visualisationFiche?format=fr&amp;fiche=2508","2508")</f>
        <v>2508</v>
      </c>
      <c r="D1725" s="4" t="str">
        <f>HYPERLINK("http://www.intercariforef.org/formations/certification-19250.html","19250")</f>
        <v>19250</v>
      </c>
      <c r="E1725" s="5">
        <v>2418</v>
      </c>
      <c r="F1725" s="5" t="s">
        <v>10</v>
      </c>
      <c r="G1725" s="5" t="s">
        <v>11</v>
      </c>
      <c r="H1725" s="3" t="s">
        <v>71</v>
      </c>
    </row>
    <row r="1726" spans="1:8" ht="13.8" x14ac:dyDescent="0.25">
      <c r="A1726" s="3" t="s">
        <v>1890</v>
      </c>
      <c r="B1726" s="3" t="s">
        <v>2158</v>
      </c>
      <c r="C1726" s="4" t="str">
        <f>HYPERLINK("http://www.rncp.cncp.gouv.fr/grand-public/visualisationFiche?format=fr&amp;fiche=2475","2475")</f>
        <v>2475</v>
      </c>
      <c r="D1726" s="4" t="str">
        <f>HYPERLINK("http://www.intercariforef.org/formations/certification-81396.html","81396")</f>
        <v>81396</v>
      </c>
      <c r="E1726" s="5">
        <v>131003</v>
      </c>
      <c r="F1726" s="5" t="s">
        <v>10</v>
      </c>
      <c r="G1726" s="5" t="s">
        <v>11</v>
      </c>
      <c r="H1726" s="3" t="s">
        <v>71</v>
      </c>
    </row>
    <row r="1727" spans="1:8" ht="13.8" x14ac:dyDescent="0.25">
      <c r="A1727" s="3" t="s">
        <v>1890</v>
      </c>
      <c r="B1727" s="3" t="s">
        <v>2159</v>
      </c>
      <c r="C1727" s="4" t="str">
        <f>HYPERLINK("http://www.rncp.cncp.gouv.fr/grand-public/visualisationFiche?format=fr&amp;fiche=2477","2477")</f>
        <v>2477</v>
      </c>
      <c r="D1727" s="4" t="str">
        <f>HYPERLINK("http://www.intercariforef.org/formations/certification-19254.html","19254")</f>
        <v>19254</v>
      </c>
      <c r="E1727" s="5">
        <v>2437</v>
      </c>
      <c r="F1727" s="5" t="s">
        <v>10</v>
      </c>
      <c r="G1727" s="5" t="s">
        <v>11</v>
      </c>
      <c r="H1727" s="3" t="s">
        <v>71</v>
      </c>
    </row>
    <row r="1728" spans="1:8" ht="13.8" x14ac:dyDescent="0.25">
      <c r="A1728" s="3" t="s">
        <v>1890</v>
      </c>
      <c r="B1728" s="3" t="s">
        <v>2160</v>
      </c>
      <c r="C1728" s="4" t="str">
        <f>HYPERLINK("http://www.rncp.cncp.gouv.fr/grand-public/visualisationFiche?format=fr&amp;fiche=2472","2472")</f>
        <v>2472</v>
      </c>
      <c r="D1728" s="4" t="str">
        <f>HYPERLINK("http://www.intercariforef.org/formations/certification-19258.html","19258")</f>
        <v>19258</v>
      </c>
      <c r="E1728" s="5">
        <v>2400</v>
      </c>
      <c r="F1728" s="5" t="s">
        <v>10</v>
      </c>
      <c r="G1728" s="5" t="s">
        <v>11</v>
      </c>
      <c r="H1728" s="3" t="s">
        <v>71</v>
      </c>
    </row>
    <row r="1729" spans="1:8" ht="27.6" x14ac:dyDescent="0.25">
      <c r="A1729" s="3" t="s">
        <v>1890</v>
      </c>
      <c r="B1729" s="3" t="s">
        <v>2161</v>
      </c>
      <c r="C1729" s="4" t="str">
        <f>HYPERLINK("http://www.rncp.cncp.gouv.fr/grand-public/visualisationFiche?format=fr&amp;fiche=20702","20702")</f>
        <v>20702</v>
      </c>
      <c r="D1729" s="4" t="str">
        <f>HYPERLINK("http://www.intercariforef.org/formations/certification-81373.html","81373")</f>
        <v>81373</v>
      </c>
      <c r="E1729" s="5">
        <v>131006</v>
      </c>
      <c r="F1729" s="5" t="s">
        <v>10</v>
      </c>
      <c r="G1729" s="5" t="s">
        <v>11</v>
      </c>
      <c r="H1729" s="3" t="s">
        <v>71</v>
      </c>
    </row>
    <row r="1730" spans="1:8" ht="27.6" x14ac:dyDescent="0.25">
      <c r="A1730" s="3" t="s">
        <v>1890</v>
      </c>
      <c r="B1730" s="3" t="s">
        <v>2162</v>
      </c>
      <c r="C1730" s="4" t="str">
        <f>HYPERLINK("http://www.rncp.cncp.gouv.fr/grand-public/visualisationFiche?format=fr&amp;fiche=20652","20652")</f>
        <v>20652</v>
      </c>
      <c r="D1730" s="4" t="str">
        <f>HYPERLINK("http://www.intercariforef.org/formations/certification-81374.html","81374")</f>
        <v>81374</v>
      </c>
      <c r="E1730" s="5">
        <v>131005</v>
      </c>
      <c r="F1730" s="5" t="s">
        <v>10</v>
      </c>
      <c r="G1730" s="5" t="s">
        <v>11</v>
      </c>
      <c r="H1730" s="3" t="s">
        <v>71</v>
      </c>
    </row>
    <row r="1731" spans="1:8" ht="27.6" x14ac:dyDescent="0.25">
      <c r="A1731" s="3" t="s">
        <v>1890</v>
      </c>
      <c r="B1731" s="3" t="s">
        <v>2163</v>
      </c>
      <c r="C1731" s="4" t="str">
        <f>HYPERLINK("http://www.rncp.cncp.gouv.fr/grand-public/visualisationFiche?format=fr&amp;fiche=20648","20648")</f>
        <v>20648</v>
      </c>
      <c r="D1731" s="4" t="str">
        <f>HYPERLINK("http://www.intercariforef.org/formations/certification-81375.html","81375")</f>
        <v>81375</v>
      </c>
      <c r="E1731" s="5">
        <v>131004</v>
      </c>
      <c r="F1731" s="5" t="s">
        <v>10</v>
      </c>
      <c r="G1731" s="5" t="s">
        <v>11</v>
      </c>
      <c r="H1731" s="3" t="s">
        <v>71</v>
      </c>
    </row>
    <row r="1732" spans="1:8" ht="27.6" x14ac:dyDescent="0.25">
      <c r="A1732" s="3" t="s">
        <v>1890</v>
      </c>
      <c r="B1732" s="3" t="s">
        <v>2164</v>
      </c>
      <c r="C1732" s="4" t="str">
        <f>HYPERLINK("http://www.rncp.cncp.gouv.fr/grand-public/visualisationFiche?format=fr&amp;fiche=2473","2473")</f>
        <v>2473</v>
      </c>
      <c r="D1732" s="4" t="str">
        <f>HYPERLINK("http://www.intercariforef.org/formations/certification-19259.html","19259")</f>
        <v>19259</v>
      </c>
      <c r="E1732" s="5">
        <v>2421</v>
      </c>
      <c r="F1732" s="5" t="s">
        <v>10</v>
      </c>
      <c r="G1732" s="5" t="s">
        <v>11</v>
      </c>
      <c r="H1732" s="3" t="s">
        <v>71</v>
      </c>
    </row>
    <row r="1733" spans="1:8" ht="13.8" x14ac:dyDescent="0.25">
      <c r="A1733" s="3" t="s">
        <v>1890</v>
      </c>
      <c r="B1733" s="3" t="s">
        <v>2165</v>
      </c>
      <c r="C1733" s="4" t="str">
        <f>HYPERLINK("http://www.rncp.cncp.gouv.fr/grand-public/visualisationFiche?format=fr&amp;fiche=2474","2474")</f>
        <v>2474</v>
      </c>
      <c r="D1733" s="4" t="str">
        <f>HYPERLINK("http://www.intercariforef.org/formations/certification-19260.html","19260")</f>
        <v>19260</v>
      </c>
      <c r="E1733" s="5">
        <v>2422</v>
      </c>
      <c r="F1733" s="5" t="s">
        <v>10</v>
      </c>
      <c r="G1733" s="5" t="s">
        <v>11</v>
      </c>
      <c r="H1733" s="3" t="s">
        <v>71</v>
      </c>
    </row>
    <row r="1734" spans="1:8" ht="13.8" x14ac:dyDescent="0.25">
      <c r="A1734" s="3" t="s">
        <v>1890</v>
      </c>
      <c r="B1734" s="3" t="s">
        <v>2166</v>
      </c>
      <c r="C1734" s="4" t="str">
        <f>HYPERLINK("http://www.rncp.cncp.gouv.fr/grand-public/visualisationFiche?format=fr&amp;fiche=14355","14355")</f>
        <v>14355</v>
      </c>
      <c r="D1734" s="4" t="str">
        <f>HYPERLINK("http://www.intercariforef.org/formations/certification-81376.html","81376")</f>
        <v>81376</v>
      </c>
      <c r="E1734" s="5">
        <v>2397</v>
      </c>
      <c r="F1734" s="5" t="s">
        <v>10</v>
      </c>
      <c r="G1734" s="5" t="s">
        <v>11</v>
      </c>
      <c r="H1734" s="3" t="s">
        <v>71</v>
      </c>
    </row>
    <row r="1735" spans="1:8" ht="13.8" x14ac:dyDescent="0.25">
      <c r="A1735" s="3" t="s">
        <v>1890</v>
      </c>
      <c r="B1735" s="3" t="s">
        <v>2166</v>
      </c>
      <c r="C1735" s="4" t="str">
        <f>HYPERLINK("http://www.rncp.cncp.gouv.fr/grand-public/visualisationFiche?format=fr&amp;fiche=7616","7616")</f>
        <v>7616</v>
      </c>
      <c r="D1735" s="4" t="str">
        <f>HYPERLINK("http://www.intercariforef.org/formations/certification-19264.html","19264")</f>
        <v>19264</v>
      </c>
      <c r="E1735" s="5">
        <v>2424</v>
      </c>
      <c r="F1735" s="5" t="s">
        <v>10</v>
      </c>
      <c r="G1735" s="5" t="s">
        <v>11</v>
      </c>
      <c r="H1735" s="3" t="s">
        <v>71</v>
      </c>
    </row>
    <row r="1736" spans="1:8" ht="13.8" x14ac:dyDescent="0.25">
      <c r="A1736" s="3" t="s">
        <v>1890</v>
      </c>
      <c r="B1736" s="3" t="s">
        <v>2167</v>
      </c>
      <c r="C1736" s="4" t="str">
        <f>HYPERLINK("http://www.rncp.cncp.gouv.fr/grand-public/visualisationFiche?format=fr&amp;fiche=2729","2729")</f>
        <v>2729</v>
      </c>
      <c r="D1736" s="4" t="str">
        <f>HYPERLINK("http://www.intercariforef.org/formations/certification-19270.html","19270")</f>
        <v>19270</v>
      </c>
      <c r="E1736" s="5">
        <v>2425</v>
      </c>
      <c r="F1736" s="5" t="s">
        <v>10</v>
      </c>
      <c r="G1736" s="5" t="s">
        <v>11</v>
      </c>
      <c r="H1736" s="3" t="s">
        <v>71</v>
      </c>
    </row>
    <row r="1737" spans="1:8" ht="27.6" x14ac:dyDescent="0.25">
      <c r="A1737" s="3" t="s">
        <v>1890</v>
      </c>
      <c r="B1737" s="3" t="s">
        <v>2168</v>
      </c>
      <c r="C1737" s="4" t="str">
        <f>HYPERLINK("http://www.rncp.cncp.gouv.fr/grand-public/visualisationFiche?format=fr&amp;fiche=2685","2685")</f>
        <v>2685</v>
      </c>
      <c r="D1737" s="4" t="str">
        <f>HYPERLINK("http://www.intercariforef.org/formations/certification-19277.html","19277")</f>
        <v>19277</v>
      </c>
      <c r="E1737" s="5">
        <v>2426</v>
      </c>
      <c r="F1737" s="5" t="s">
        <v>10</v>
      </c>
      <c r="G1737" s="5" t="s">
        <v>11</v>
      </c>
      <c r="H1737" s="3" t="s">
        <v>71</v>
      </c>
    </row>
    <row r="1738" spans="1:8" ht="27.6" x14ac:dyDescent="0.25">
      <c r="A1738" s="3" t="s">
        <v>1890</v>
      </c>
      <c r="B1738" s="3" t="s">
        <v>2169</v>
      </c>
      <c r="C1738" s="4" t="str">
        <f>HYPERLINK("http://www.rncp.cncp.gouv.fr/grand-public/visualisationFiche?format=fr&amp;fiche=2686","2686")</f>
        <v>2686</v>
      </c>
      <c r="D1738" s="4" t="str">
        <f>HYPERLINK("http://www.intercariforef.org/formations/certification-19278.html","19278")</f>
        <v>19278</v>
      </c>
      <c r="E1738" s="5">
        <v>2427</v>
      </c>
      <c r="F1738" s="5" t="s">
        <v>10</v>
      </c>
      <c r="G1738" s="5" t="s">
        <v>11</v>
      </c>
      <c r="H1738" s="3" t="s">
        <v>71</v>
      </c>
    </row>
    <row r="1739" spans="1:8" ht="13.8" x14ac:dyDescent="0.25">
      <c r="A1739" s="3" t="s">
        <v>1890</v>
      </c>
      <c r="B1739" s="3" t="s">
        <v>2170</v>
      </c>
      <c r="C1739" s="4" t="str">
        <f>HYPERLINK("http://www.rncp.cncp.gouv.fr/grand-public/visualisationFiche?format=fr&amp;fiche=2687","2687")</f>
        <v>2687</v>
      </c>
      <c r="D1739" s="4" t="str">
        <f>HYPERLINK("http://www.intercariforef.org/formations/certification-81488.html","81488")</f>
        <v>81488</v>
      </c>
      <c r="E1739" s="5">
        <v>131002</v>
      </c>
      <c r="F1739" s="5" t="s">
        <v>10</v>
      </c>
      <c r="G1739" s="5" t="s">
        <v>11</v>
      </c>
      <c r="H1739" s="3" t="s">
        <v>71</v>
      </c>
    </row>
    <row r="1740" spans="1:8" ht="13.8" x14ac:dyDescent="0.25">
      <c r="A1740" s="3" t="s">
        <v>1890</v>
      </c>
      <c r="B1740" s="3" t="s">
        <v>2171</v>
      </c>
      <c r="C1740" s="4" t="str">
        <f>HYPERLINK("http://www.rncp.cncp.gouv.fr/grand-public/visualisationFiche?format=fr&amp;fiche=2689","2689")</f>
        <v>2689</v>
      </c>
      <c r="D1740" s="4" t="str">
        <f>HYPERLINK("http://www.intercariforef.org/formations/certification-19281.html","19281")</f>
        <v>19281</v>
      </c>
      <c r="E1740" s="5">
        <v>2428</v>
      </c>
      <c r="F1740" s="5" t="s">
        <v>10</v>
      </c>
      <c r="G1740" s="5" t="s">
        <v>11</v>
      </c>
      <c r="H1740" s="3" t="s">
        <v>71</v>
      </c>
    </row>
    <row r="1741" spans="1:8" ht="13.8" x14ac:dyDescent="0.25">
      <c r="A1741" s="3" t="s">
        <v>1890</v>
      </c>
      <c r="B1741" s="3" t="s">
        <v>2172</v>
      </c>
      <c r="C1741" s="4" t="str">
        <f>HYPERLINK("http://www.rncp.cncp.gouv.fr/grand-public/visualisationFiche?format=fr&amp;fiche=20656","20656")</f>
        <v>20656</v>
      </c>
      <c r="D1741" s="4" t="str">
        <f>HYPERLINK("http://www.intercariforef.org/formations/certification-81398.html","81398")</f>
        <v>81398</v>
      </c>
      <c r="E1741" s="5">
        <v>2433</v>
      </c>
      <c r="F1741" s="5" t="s">
        <v>10</v>
      </c>
      <c r="G1741" s="5" t="s">
        <v>11</v>
      </c>
      <c r="H1741" s="3" t="s">
        <v>71</v>
      </c>
    </row>
    <row r="1742" spans="1:8" ht="13.8" x14ac:dyDescent="0.25">
      <c r="A1742" s="3" t="s">
        <v>1890</v>
      </c>
      <c r="B1742" s="3" t="s">
        <v>2173</v>
      </c>
      <c r="C1742" s="4" t="str">
        <f>HYPERLINK("http://www.rncp.cncp.gouv.fr/grand-public/visualisationFiche?format=fr&amp;fiche=20649","20649")</f>
        <v>20649</v>
      </c>
      <c r="D1742" s="4" t="str">
        <f>HYPERLINK("http://www.intercariforef.org/formations/certification-81491.html","81491")</f>
        <v>81491</v>
      </c>
      <c r="E1742" s="5">
        <v>2412</v>
      </c>
      <c r="F1742" s="5" t="s">
        <v>10</v>
      </c>
      <c r="G1742" s="5" t="s">
        <v>11</v>
      </c>
      <c r="H1742" s="3" t="s">
        <v>71</v>
      </c>
    </row>
    <row r="1743" spans="1:8" ht="13.8" x14ac:dyDescent="0.25">
      <c r="A1743" s="3" t="s">
        <v>1890</v>
      </c>
      <c r="B1743" s="3" t="s">
        <v>2174</v>
      </c>
      <c r="C1743" s="4" t="str">
        <f>HYPERLINK("http://www.rncp.cncp.gouv.fr/grand-public/visualisationFiche?format=fr&amp;fiche=2732","2732")</f>
        <v>2732</v>
      </c>
      <c r="D1743" s="4" t="str">
        <f>HYPERLINK("http://www.intercariforef.org/formations/certification-19311.html","19311")</f>
        <v>19311</v>
      </c>
      <c r="E1743" s="5">
        <v>2434</v>
      </c>
      <c r="F1743" s="5" t="s">
        <v>10</v>
      </c>
      <c r="G1743" s="5" t="s">
        <v>11</v>
      </c>
      <c r="H1743" s="3" t="s">
        <v>71</v>
      </c>
    </row>
    <row r="1744" spans="1:8" ht="13.8" x14ac:dyDescent="0.25">
      <c r="A1744" s="3" t="s">
        <v>1890</v>
      </c>
      <c r="B1744" s="3" t="s">
        <v>2175</v>
      </c>
      <c r="C1744" s="4" t="str">
        <f>HYPERLINK("http://www.rncp.cncp.gouv.fr/grand-public/visualisationFiche?format=fr&amp;fiche=2927","2927")</f>
        <v>2927</v>
      </c>
      <c r="D1744" s="4" t="str">
        <f>HYPERLINK("http://www.intercariforef.org/formations/certification-19315.html","19315")</f>
        <v>19315</v>
      </c>
      <c r="E1744" s="5">
        <v>2435</v>
      </c>
      <c r="F1744" s="5" t="s">
        <v>10</v>
      </c>
      <c r="G1744" s="5" t="s">
        <v>11</v>
      </c>
      <c r="H1744" s="3" t="s">
        <v>71</v>
      </c>
    </row>
    <row r="1745" spans="1:8" ht="13.8" x14ac:dyDescent="0.25">
      <c r="A1745" s="3" t="s">
        <v>1890</v>
      </c>
      <c r="B1745" s="3" t="s">
        <v>2176</v>
      </c>
      <c r="C1745" s="4" t="str">
        <f>HYPERLINK("http://www.rncp.cncp.gouv.fr/grand-public/visualisationFiche?format=fr&amp;fiche=21700","21700")</f>
        <v>21700</v>
      </c>
      <c r="D1745" s="4" t="str">
        <f>HYPERLINK("http://www.intercariforef.org/formations/certification-84052.html","84052")</f>
        <v>84052</v>
      </c>
      <c r="E1745" s="5">
        <v>161360</v>
      </c>
      <c r="F1745" s="5" t="s">
        <v>10</v>
      </c>
      <c r="G1745" s="5" t="s">
        <v>11</v>
      </c>
      <c r="H1745" s="3" t="s">
        <v>2177</v>
      </c>
    </row>
    <row r="1746" spans="1:8" ht="13.8" x14ac:dyDescent="0.25">
      <c r="A1746" s="3" t="s">
        <v>1890</v>
      </c>
      <c r="B1746" s="3" t="s">
        <v>2178</v>
      </c>
      <c r="C1746" s="4" t="str">
        <f>HYPERLINK("http://www.rncp.cncp.gouv.fr/grand-public/visualisationFiche?format=fr&amp;fiche=6930","6930")</f>
        <v>6930</v>
      </c>
      <c r="D1746" s="4" t="str">
        <f>HYPERLINK("http://www.intercariforef.org/formations/certification-63027.html","63027")</f>
        <v>63027</v>
      </c>
      <c r="E1746" s="5">
        <v>2438</v>
      </c>
      <c r="F1746" s="5" t="s">
        <v>10</v>
      </c>
      <c r="G1746" s="5" t="s">
        <v>11</v>
      </c>
      <c r="H1746" s="3" t="s">
        <v>34</v>
      </c>
    </row>
    <row r="1747" spans="1:8" ht="27.6" x14ac:dyDescent="0.25">
      <c r="A1747" s="3" t="s">
        <v>1890</v>
      </c>
      <c r="B1747" s="3" t="s">
        <v>2179</v>
      </c>
      <c r="C1747" s="4" t="str">
        <f>HYPERLINK("http://www.rncp.cncp.gouv.fr/grand-public/visualisationFiche?format=fr&amp;fiche=12306","12306")</f>
        <v>12306</v>
      </c>
      <c r="D1747" s="4" t="str">
        <f>HYPERLINK("http://www.intercariforef.org/formations/certification-74797.html","74797")</f>
        <v>74797</v>
      </c>
      <c r="E1747" s="5">
        <v>131007</v>
      </c>
      <c r="F1747" s="5" t="s">
        <v>10</v>
      </c>
      <c r="G1747" s="5" t="s">
        <v>11</v>
      </c>
      <c r="H1747" s="3" t="s">
        <v>1937</v>
      </c>
    </row>
    <row r="1748" spans="1:8" ht="13.8" x14ac:dyDescent="0.25">
      <c r="A1748" s="3" t="s">
        <v>1890</v>
      </c>
      <c r="B1748" s="3" t="s">
        <v>2180</v>
      </c>
      <c r="C1748" s="4" t="str">
        <f>HYPERLINK("http://www.rncp.cncp.gouv.fr/grand-public/visualisationFiche?format=fr&amp;fiche=21948","21948")</f>
        <v>21948</v>
      </c>
      <c r="D1748" s="4" t="str">
        <f>HYPERLINK("http://www.intercariforef.org/formations/certification-77594.html","77594")</f>
        <v>77594</v>
      </c>
      <c r="E1748" s="5">
        <v>2441</v>
      </c>
      <c r="F1748" s="5" t="s">
        <v>10</v>
      </c>
      <c r="G1748" s="5" t="s">
        <v>11</v>
      </c>
      <c r="H1748" s="3" t="s">
        <v>2181</v>
      </c>
    </row>
    <row r="1749" spans="1:8" ht="13.8" x14ac:dyDescent="0.25">
      <c r="A1749" s="3" t="s">
        <v>1890</v>
      </c>
      <c r="B1749" s="3" t="s">
        <v>2180</v>
      </c>
      <c r="C1749" s="4" t="str">
        <f>HYPERLINK("http://www.rncp.cncp.gouv.fr/grand-public/visualisationFiche?format=fr&amp;fiche=13887","13887")</f>
        <v>13887</v>
      </c>
      <c r="D1749" s="4" t="str">
        <f>HYPERLINK("http://www.intercariforef.org/formations/certification-77117.html","77117")</f>
        <v>77117</v>
      </c>
      <c r="E1749" s="5">
        <v>2440</v>
      </c>
      <c r="F1749" s="5" t="s">
        <v>10</v>
      </c>
      <c r="G1749" s="5" t="s">
        <v>11</v>
      </c>
      <c r="H1749" s="3" t="s">
        <v>2182</v>
      </c>
    </row>
    <row r="1750" spans="1:8" ht="13.8" x14ac:dyDescent="0.25">
      <c r="A1750" s="3" t="s">
        <v>1890</v>
      </c>
      <c r="B1750" s="3" t="s">
        <v>2183</v>
      </c>
      <c r="C1750" s="4" t="str">
        <f>HYPERLINK("http://www.rncp.cncp.gouv.fr/grand-public/visualisationFiche?format=fr&amp;fiche=6561","6561")</f>
        <v>6561</v>
      </c>
      <c r="D1750" s="4" t="str">
        <f>HYPERLINK("http://www.intercariforef.org/formations/certification-62699.html","62699")</f>
        <v>62699</v>
      </c>
      <c r="E1750" s="5">
        <v>2439</v>
      </c>
      <c r="F1750" s="5" t="s">
        <v>10</v>
      </c>
      <c r="G1750" s="5" t="s">
        <v>11</v>
      </c>
      <c r="H1750" s="3" t="s">
        <v>1066</v>
      </c>
    </row>
    <row r="1751" spans="1:8" ht="13.8" x14ac:dyDescent="0.25">
      <c r="A1751" s="3" t="s">
        <v>1890</v>
      </c>
      <c r="B1751" s="3" t="s">
        <v>2184</v>
      </c>
      <c r="C1751" s="4" t="str">
        <f>HYPERLINK("http://www.rncp.cncp.gouv.fr/grand-public/visualisationFiche?format=fr&amp;fiche=16600","16600")</f>
        <v>16600</v>
      </c>
      <c r="D1751" s="4" t="str">
        <f>HYPERLINK("http://www.intercariforef.org/formations/certification-81097.html","81097")</f>
        <v>81097</v>
      </c>
      <c r="E1751" s="5">
        <v>2442</v>
      </c>
      <c r="F1751" s="5" t="s">
        <v>10</v>
      </c>
      <c r="G1751" s="5" t="s">
        <v>11</v>
      </c>
      <c r="H1751" s="3" t="s">
        <v>2185</v>
      </c>
    </row>
    <row r="1752" spans="1:8" ht="13.8" x14ac:dyDescent="0.25">
      <c r="A1752" s="3" t="s">
        <v>1890</v>
      </c>
      <c r="B1752" s="3" t="s">
        <v>2186</v>
      </c>
      <c r="C1752" s="4" t="str">
        <f>HYPERLINK("http://www.rncp.cncp.gouv.fr/grand-public/visualisationFiche?format=fr&amp;fiche=23656","23656")</f>
        <v>23656</v>
      </c>
      <c r="D1752" s="4" t="str">
        <f>HYPERLINK("http://www.intercariforef.org/formations/certification-69805.html","69805")</f>
        <v>69805</v>
      </c>
      <c r="E1752" s="5">
        <v>16439</v>
      </c>
      <c r="F1752" s="5" t="s">
        <v>10</v>
      </c>
      <c r="G1752" s="5" t="s">
        <v>11</v>
      </c>
      <c r="H1752" s="3" t="s">
        <v>1025</v>
      </c>
    </row>
    <row r="1753" spans="1:8" ht="13.8" x14ac:dyDescent="0.25">
      <c r="A1753" s="3" t="s">
        <v>1890</v>
      </c>
      <c r="B1753" s="3" t="s">
        <v>2187</v>
      </c>
      <c r="C1753" s="4" t="str">
        <f>HYPERLINK("http://www.rncp.cncp.gouv.fr/grand-public/visualisationFiche?format=fr&amp;fiche=19429","19429")</f>
        <v>19429</v>
      </c>
      <c r="D1753" s="4" t="str">
        <f>HYPERLINK("http://www.intercariforef.org/formations/certification-83351.html","83351")</f>
        <v>83351</v>
      </c>
      <c r="E1753" s="5">
        <v>2456</v>
      </c>
      <c r="F1753" s="5" t="s">
        <v>10</v>
      </c>
      <c r="G1753" s="5" t="s">
        <v>11</v>
      </c>
      <c r="H1753" s="3" t="s">
        <v>2188</v>
      </c>
    </row>
    <row r="1754" spans="1:8" ht="13.8" x14ac:dyDescent="0.25">
      <c r="A1754" s="3" t="s">
        <v>1890</v>
      </c>
      <c r="B1754" s="3" t="s">
        <v>2189</v>
      </c>
      <c r="C1754" s="4" t="str">
        <f>HYPERLINK("http://www.rncp.cncp.gouv.fr/grand-public/visualisationFiche?format=fr&amp;fiche=23827","23827")</f>
        <v>23827</v>
      </c>
      <c r="D1754" s="4" t="str">
        <f>HYPERLINK("http://www.intercariforef.org/formations/certification-73818.html","73818")</f>
        <v>73818</v>
      </c>
      <c r="E1754" s="5">
        <v>2451</v>
      </c>
      <c r="F1754" s="5" t="s">
        <v>10</v>
      </c>
      <c r="G1754" s="5" t="s">
        <v>11</v>
      </c>
      <c r="H1754" s="3" t="s">
        <v>1770</v>
      </c>
    </row>
    <row r="1755" spans="1:8" ht="13.8" x14ac:dyDescent="0.25">
      <c r="A1755" s="3" t="s">
        <v>1890</v>
      </c>
      <c r="B1755" s="3" t="s">
        <v>2190</v>
      </c>
      <c r="C1755" s="4" t="str">
        <f>HYPERLINK("http://www.rncp.cncp.gouv.fr/grand-public/visualisationFiche?format=fr&amp;fiche=23827","23827")</f>
        <v>23827</v>
      </c>
      <c r="D1755" s="4" t="str">
        <f>HYPERLINK("http://www.intercariforef.org/formations/certification-74017.html","74017")</f>
        <v>74017</v>
      </c>
      <c r="E1755" s="5">
        <v>2452</v>
      </c>
      <c r="F1755" s="5" t="s">
        <v>10</v>
      </c>
      <c r="G1755" s="5" t="s">
        <v>11</v>
      </c>
      <c r="H1755" s="3" t="s">
        <v>1770</v>
      </c>
    </row>
    <row r="1756" spans="1:8" ht="27.6" x14ac:dyDescent="0.25">
      <c r="A1756" s="3" t="s">
        <v>1890</v>
      </c>
      <c r="B1756" s="3" t="s">
        <v>2191</v>
      </c>
      <c r="C1756" s="4" t="str">
        <f>HYPERLINK("http://www.rncp.cncp.gouv.fr/grand-public/visualisationFiche?format=fr&amp;fiche=6251","6251")</f>
        <v>6251</v>
      </c>
      <c r="D1756" s="4" t="str">
        <f>HYPERLINK("http://www.intercariforef.org/formations/certification-60610.html","60610")</f>
        <v>60610</v>
      </c>
      <c r="E1756" s="5">
        <v>2453</v>
      </c>
      <c r="F1756" s="5" t="s">
        <v>10</v>
      </c>
      <c r="G1756" s="5" t="s">
        <v>11</v>
      </c>
      <c r="H1756" s="3" t="s">
        <v>2192</v>
      </c>
    </row>
    <row r="1757" spans="1:8" ht="13.8" x14ac:dyDescent="0.25">
      <c r="A1757" s="3" t="s">
        <v>1890</v>
      </c>
      <c r="B1757" s="3" t="s">
        <v>2193</v>
      </c>
      <c r="C1757" s="4" t="str">
        <f>HYPERLINK("http://www.rncp.cncp.gouv.fr/grand-public/visualisationFiche?format=fr&amp;fiche=14374","14374")</f>
        <v>14374</v>
      </c>
      <c r="D1757" s="4" t="str">
        <f>HYPERLINK("http://www.intercariforef.org/formations/certification-77595.html","77595")</f>
        <v>77595</v>
      </c>
      <c r="E1757" s="5">
        <v>2457</v>
      </c>
      <c r="F1757" s="5" t="s">
        <v>10</v>
      </c>
      <c r="G1757" s="5" t="s">
        <v>11</v>
      </c>
      <c r="H1757" s="3" t="s">
        <v>1921</v>
      </c>
    </row>
    <row r="1758" spans="1:8" ht="13.8" x14ac:dyDescent="0.25">
      <c r="A1758" s="3" t="s">
        <v>1890</v>
      </c>
      <c r="B1758" s="3" t="s">
        <v>2194</v>
      </c>
      <c r="C1758" s="4" t="str">
        <f>HYPERLINK("http://www.rncp.cncp.gouv.fr/grand-public/visualisationFiche?format=fr&amp;fiche=20435","20435")</f>
        <v>20435</v>
      </c>
      <c r="D1758" s="4" t="str">
        <f>HYPERLINK("http://www.intercariforef.org/formations/certification-57360.html","57360")</f>
        <v>57360</v>
      </c>
      <c r="E1758" s="5">
        <v>16244</v>
      </c>
      <c r="F1758" s="5" t="s">
        <v>10</v>
      </c>
      <c r="G1758" s="5" t="s">
        <v>11</v>
      </c>
      <c r="H1758" s="3" t="s">
        <v>2195</v>
      </c>
    </row>
    <row r="1759" spans="1:8" ht="13.8" x14ac:dyDescent="0.25">
      <c r="A1759" s="3" t="s">
        <v>1890</v>
      </c>
      <c r="B1759" s="3" t="s">
        <v>2196</v>
      </c>
      <c r="C1759" s="4" t="str">
        <f>HYPERLINK("http://www.rncp.cncp.gouv.fr/grand-public/visualisationFiche?format=fr&amp;fiche=4676","4676")</f>
        <v>4676</v>
      </c>
      <c r="D1759" s="4" t="str">
        <f>HYPERLINK("http://www.intercariforef.org/formations/certification-59646.html","59646")</f>
        <v>59646</v>
      </c>
      <c r="E1759" s="5">
        <v>16245</v>
      </c>
      <c r="F1759" s="5" t="s">
        <v>10</v>
      </c>
      <c r="G1759" s="5" t="s">
        <v>11</v>
      </c>
      <c r="H1759" s="3" t="s">
        <v>1088</v>
      </c>
    </row>
    <row r="1760" spans="1:8" ht="13.8" x14ac:dyDescent="0.25">
      <c r="A1760" s="3" t="s">
        <v>1890</v>
      </c>
      <c r="B1760" s="3" t="s">
        <v>2197</v>
      </c>
      <c r="C1760" s="4" t="str">
        <f>HYPERLINK("http://www.rncp.cncp.gouv.fr/grand-public/visualisationFiche?format=fr&amp;fiche=5501","5501")</f>
        <v>5501</v>
      </c>
      <c r="D1760" s="4" t="str">
        <f>HYPERLINK("http://www.intercariforef.org/formations/certification-57526.html","57526")</f>
        <v>57526</v>
      </c>
      <c r="E1760" s="5">
        <v>2459</v>
      </c>
      <c r="F1760" s="5" t="s">
        <v>10</v>
      </c>
      <c r="G1760" s="5" t="s">
        <v>11</v>
      </c>
      <c r="H1760" s="3" t="s">
        <v>2198</v>
      </c>
    </row>
    <row r="1761" spans="1:8" ht="13.8" x14ac:dyDescent="0.25">
      <c r="A1761" s="3" t="s">
        <v>1890</v>
      </c>
      <c r="B1761" s="3" t="s">
        <v>2199</v>
      </c>
      <c r="C1761" s="4" t="str">
        <f>HYPERLINK("http://www.rncp.cncp.gouv.fr/grand-public/visualisationFiche?format=fr&amp;fiche=11924","11924")</f>
        <v>11924</v>
      </c>
      <c r="D1761" s="4" t="str">
        <f>HYPERLINK("http://www.intercariforef.org/formations/certification-59647.html","59647")</f>
        <v>59647</v>
      </c>
      <c r="E1761" s="5">
        <v>16246</v>
      </c>
      <c r="F1761" s="5" t="s">
        <v>10</v>
      </c>
      <c r="G1761" s="5" t="s">
        <v>11</v>
      </c>
      <c r="H1761" s="3" t="s">
        <v>2200</v>
      </c>
    </row>
    <row r="1762" spans="1:8" ht="13.8" x14ac:dyDescent="0.25">
      <c r="A1762" s="3" t="s">
        <v>1890</v>
      </c>
      <c r="B1762" s="3" t="s">
        <v>2199</v>
      </c>
      <c r="C1762" s="4" t="str">
        <f>HYPERLINK("http://www.rncp.cncp.gouv.fr/grand-public/visualisationFiche?format=fr&amp;fiche=22232","22232")</f>
        <v>22232</v>
      </c>
      <c r="D1762" s="4" t="str">
        <f>HYPERLINK("http://www.intercariforef.org/formations/certification-76756.html","76756")</f>
        <v>76756</v>
      </c>
      <c r="E1762" s="5">
        <v>16247</v>
      </c>
      <c r="F1762" s="5" t="s">
        <v>10</v>
      </c>
      <c r="G1762" s="5" t="s">
        <v>11</v>
      </c>
      <c r="H1762" s="3" t="s">
        <v>2201</v>
      </c>
    </row>
    <row r="1763" spans="1:8" ht="13.8" x14ac:dyDescent="0.25">
      <c r="A1763" s="3" t="s">
        <v>1890</v>
      </c>
      <c r="B1763" s="3" t="s">
        <v>2202</v>
      </c>
      <c r="C1763" s="4" t="str">
        <f>HYPERLINK("http://www.rncp.cncp.gouv.fr/grand-public/visualisationFiche?format=fr&amp;fiche=2238","2238")</f>
        <v>2238</v>
      </c>
      <c r="D1763" s="4" t="str">
        <f>HYPERLINK("http://www.intercariforef.org/formations/certification-57359.html","57359")</f>
        <v>57359</v>
      </c>
      <c r="E1763" s="5">
        <v>2458</v>
      </c>
      <c r="F1763" s="5" t="s">
        <v>10</v>
      </c>
      <c r="G1763" s="5" t="s">
        <v>11</v>
      </c>
      <c r="H1763" s="3" t="s">
        <v>1095</v>
      </c>
    </row>
    <row r="1764" spans="1:8" ht="13.8" x14ac:dyDescent="0.25">
      <c r="A1764" s="3" t="s">
        <v>1890</v>
      </c>
      <c r="B1764" s="3" t="s">
        <v>2203</v>
      </c>
      <c r="C1764" s="4" t="str">
        <f>HYPERLINK("http://www.rncp.cncp.gouv.fr/grand-public/visualisationFiche?format=fr&amp;fiche=11505","11505")</f>
        <v>11505</v>
      </c>
      <c r="D1764" s="4" t="str">
        <f>HYPERLINK("http://www.intercariforef.org/formations/certification-72716.html","72716")</f>
        <v>72716</v>
      </c>
      <c r="E1764" s="5">
        <v>16249</v>
      </c>
      <c r="F1764" s="5" t="s">
        <v>10</v>
      </c>
      <c r="G1764" s="5" t="s">
        <v>11</v>
      </c>
      <c r="H1764" s="3" t="s">
        <v>2204</v>
      </c>
    </row>
    <row r="1765" spans="1:8" ht="13.8" x14ac:dyDescent="0.25">
      <c r="A1765" s="3" t="s">
        <v>1890</v>
      </c>
      <c r="B1765" s="3" t="s">
        <v>2205</v>
      </c>
      <c r="C1765" s="4" t="str">
        <f>HYPERLINK("http://www.rncp.cncp.gouv.fr/grand-public/visualisationFiche?format=fr&amp;fiche=14593","14593")</f>
        <v>14593</v>
      </c>
      <c r="D1765" s="4" t="str">
        <f>HYPERLINK("http://www.intercariforef.org/formations/certification-77610.html","77610")</f>
        <v>77610</v>
      </c>
      <c r="E1765" s="5">
        <v>16250</v>
      </c>
      <c r="F1765" s="5" t="s">
        <v>10</v>
      </c>
      <c r="G1765" s="5" t="s">
        <v>11</v>
      </c>
      <c r="H1765" s="3" t="s">
        <v>2206</v>
      </c>
    </row>
    <row r="1766" spans="1:8" ht="13.8" x14ac:dyDescent="0.25">
      <c r="A1766" s="3" t="s">
        <v>1890</v>
      </c>
      <c r="B1766" s="3" t="s">
        <v>2207</v>
      </c>
      <c r="C1766" s="4" t="str">
        <f>HYPERLINK("http://www.rncp.cncp.gouv.fr/grand-public/visualisationFiche?format=fr&amp;fiche=18138","18138")</f>
        <v>18138</v>
      </c>
      <c r="D1766" s="4" t="str">
        <f>HYPERLINK("http://www.intercariforef.org/formations/certification-82593.html","82593")</f>
        <v>82593</v>
      </c>
      <c r="E1766" s="5">
        <v>2460</v>
      </c>
      <c r="F1766" s="5" t="s">
        <v>10</v>
      </c>
      <c r="G1766" s="5" t="s">
        <v>11</v>
      </c>
      <c r="H1766" s="3" t="s">
        <v>2208</v>
      </c>
    </row>
    <row r="1767" spans="1:8" ht="27.6" x14ac:dyDescent="0.25">
      <c r="A1767" s="3" t="s">
        <v>1890</v>
      </c>
      <c r="B1767" s="3" t="s">
        <v>2209</v>
      </c>
      <c r="C1767" s="4" t="str">
        <f>HYPERLINK("http://www.rncp.cncp.gouv.fr/grand-public/visualisationFiche?format=fr&amp;fiche=18130","18130")</f>
        <v>18130</v>
      </c>
      <c r="D1767" s="4" t="str">
        <f>HYPERLINK("http://www.intercariforef.org/formations/certification-82585.html","82585")</f>
        <v>82585</v>
      </c>
      <c r="E1767" s="5">
        <v>2461</v>
      </c>
      <c r="F1767" s="5" t="s">
        <v>10</v>
      </c>
      <c r="G1767" s="5" t="s">
        <v>11</v>
      </c>
      <c r="H1767" s="3" t="s">
        <v>1937</v>
      </c>
    </row>
    <row r="1768" spans="1:8" ht="27.6" x14ac:dyDescent="0.25">
      <c r="A1768" s="3" t="s">
        <v>1890</v>
      </c>
      <c r="B1768" s="3" t="s">
        <v>2210</v>
      </c>
      <c r="C1768" s="4" t="str">
        <f>HYPERLINK("http://www.rncp.cncp.gouv.fr/grand-public/visualisationFiche?format=fr&amp;fiche=12975","12975")</f>
        <v>12975</v>
      </c>
      <c r="D1768" s="4" t="str">
        <f>HYPERLINK("http://www.intercariforef.org/formations/certification-76222.html","76222")</f>
        <v>76222</v>
      </c>
      <c r="E1768" s="5">
        <v>131008</v>
      </c>
      <c r="F1768" s="5" t="s">
        <v>10</v>
      </c>
      <c r="G1768" s="5" t="s">
        <v>11</v>
      </c>
      <c r="H1768" s="3" t="s">
        <v>2211</v>
      </c>
    </row>
    <row r="1769" spans="1:8" ht="27.6" x14ac:dyDescent="0.25">
      <c r="A1769" s="3" t="s">
        <v>1890</v>
      </c>
      <c r="B1769" s="3" t="s">
        <v>2212</v>
      </c>
      <c r="C1769" s="4" t="str">
        <f>HYPERLINK("http://www.rncp.cncp.gouv.fr/grand-public/visualisationFiche?format=fr&amp;fiche=6565","6565")</f>
        <v>6565</v>
      </c>
      <c r="D1769" s="4" t="str">
        <f>HYPERLINK("http://www.intercariforef.org/formations/certification-62700.html","62700")</f>
        <v>62700</v>
      </c>
      <c r="E1769" s="5">
        <v>2462</v>
      </c>
      <c r="F1769" s="5" t="s">
        <v>10</v>
      </c>
      <c r="G1769" s="5" t="s">
        <v>11</v>
      </c>
      <c r="H1769" s="3" t="s">
        <v>2213</v>
      </c>
    </row>
    <row r="1770" spans="1:8" ht="27.6" x14ac:dyDescent="0.25">
      <c r="A1770" s="3" t="s">
        <v>1890</v>
      </c>
      <c r="B1770" s="3" t="s">
        <v>2214</v>
      </c>
      <c r="C1770" s="4" t="str">
        <f>HYPERLINK("http://www.rncp.cncp.gouv.fr/grand-public/visualisationFiche?format=fr&amp;fiche=12804","12804")</f>
        <v>12804</v>
      </c>
      <c r="D1770" s="4" t="str">
        <f>HYPERLINK("http://www.intercariforef.org/formations/certification-62702.html","62702")</f>
        <v>62702</v>
      </c>
      <c r="E1770" s="5">
        <v>2463</v>
      </c>
      <c r="F1770" s="5" t="s">
        <v>10</v>
      </c>
      <c r="G1770" s="5" t="s">
        <v>11</v>
      </c>
      <c r="H1770" s="3" t="s">
        <v>2082</v>
      </c>
    </row>
    <row r="1771" spans="1:8" ht="13.8" x14ac:dyDescent="0.25">
      <c r="A1771" s="3" t="s">
        <v>1890</v>
      </c>
      <c r="B1771" s="3" t="s">
        <v>2215</v>
      </c>
      <c r="C1771" s="4" t="str">
        <f>HYPERLINK("http://www.rncp.cncp.gouv.fr/grand-public/visualisationFiche?format=fr&amp;fiche=13002","13002")</f>
        <v>13002</v>
      </c>
      <c r="D1771" s="4" t="str">
        <f>HYPERLINK("http://www.intercariforef.org/formations/certification-76218.html","76218")</f>
        <v>76218</v>
      </c>
      <c r="E1771" s="5">
        <v>16251</v>
      </c>
      <c r="F1771" s="5" t="s">
        <v>10</v>
      </c>
      <c r="G1771" s="5" t="s">
        <v>11</v>
      </c>
      <c r="H1771" s="3" t="s">
        <v>2216</v>
      </c>
    </row>
    <row r="1772" spans="1:8" ht="13.8" x14ac:dyDescent="0.25">
      <c r="A1772" s="3" t="s">
        <v>1890</v>
      </c>
      <c r="B1772" s="3" t="s">
        <v>2217</v>
      </c>
      <c r="C1772" s="4" t="str">
        <f>HYPERLINK("http://www.rncp.cncp.gouv.fr/grand-public/visualisationFiche?format=fr&amp;fiche=15334","15334")</f>
        <v>15334</v>
      </c>
      <c r="D1772" s="4" t="str">
        <f>HYPERLINK("http://www.intercariforef.org/formations/certification-77602.html","77602")</f>
        <v>77602</v>
      </c>
      <c r="E1772" s="5">
        <v>2465</v>
      </c>
      <c r="F1772" s="5" t="s">
        <v>10</v>
      </c>
      <c r="G1772" s="5" t="s">
        <v>11</v>
      </c>
      <c r="H1772" s="3" t="s">
        <v>845</v>
      </c>
    </row>
    <row r="1773" spans="1:8" ht="13.8" x14ac:dyDescent="0.25">
      <c r="A1773" s="3" t="s">
        <v>1890</v>
      </c>
      <c r="B1773" s="3" t="s">
        <v>2218</v>
      </c>
      <c r="C1773" s="4" t="str">
        <f>HYPERLINK("http://www.rncp.cncp.gouv.fr/grand-public/visualisationFiche?format=fr&amp;fiche=15334","15334")</f>
        <v>15334</v>
      </c>
      <c r="D1773" s="4" t="str">
        <f>HYPERLINK("http://www.intercariforef.org/formations/certification-77601.html","77601")</f>
        <v>77601</v>
      </c>
      <c r="E1773" s="5">
        <v>2464</v>
      </c>
      <c r="F1773" s="5" t="s">
        <v>10</v>
      </c>
      <c r="G1773" s="5" t="s">
        <v>11</v>
      </c>
      <c r="H1773" s="3" t="s">
        <v>845</v>
      </c>
    </row>
    <row r="1774" spans="1:8" ht="27.6" x14ac:dyDescent="0.25">
      <c r="A1774" s="3" t="s">
        <v>1890</v>
      </c>
      <c r="B1774" s="3" t="s">
        <v>2219</v>
      </c>
      <c r="C1774" s="4" t="str">
        <f>HYPERLINK("http://www.rncp.cncp.gouv.fr/grand-public/visualisationFiche?format=fr&amp;fiche=14391","14391")</f>
        <v>14391</v>
      </c>
      <c r="D1774" s="4" t="str">
        <f>HYPERLINK("http://www.intercariforef.org/formations/certification-77606.html","77606")</f>
        <v>77606</v>
      </c>
      <c r="E1774" s="5">
        <v>161361</v>
      </c>
      <c r="F1774" s="5" t="s">
        <v>10</v>
      </c>
      <c r="G1774" s="5" t="s">
        <v>11</v>
      </c>
      <c r="H1774" s="3" t="s">
        <v>2220</v>
      </c>
    </row>
    <row r="1775" spans="1:8" ht="13.8" x14ac:dyDescent="0.25">
      <c r="A1775" s="3" t="s">
        <v>1890</v>
      </c>
      <c r="B1775" s="3" t="s">
        <v>2221</v>
      </c>
      <c r="C1775" s="4" t="str">
        <f>HYPERLINK("http://www.rncp.cncp.gouv.fr/grand-public/visualisationFiche?format=fr&amp;fiche=5309","5309")</f>
        <v>5309</v>
      </c>
      <c r="D1775" s="4" t="str">
        <f>HYPERLINK("http://www.intercariforef.org/formations/certification-53689.html","53689")</f>
        <v>53689</v>
      </c>
      <c r="E1775" s="5">
        <v>144412</v>
      </c>
      <c r="F1775" s="5" t="s">
        <v>10</v>
      </c>
      <c r="G1775" s="5" t="s">
        <v>11</v>
      </c>
      <c r="H1775" s="3" t="s">
        <v>2222</v>
      </c>
    </row>
    <row r="1776" spans="1:8" ht="27.6" x14ac:dyDescent="0.25">
      <c r="A1776" s="3" t="s">
        <v>1890</v>
      </c>
      <c r="B1776" s="3" t="s">
        <v>2223</v>
      </c>
      <c r="C1776" s="4" t="str">
        <f>HYPERLINK("http://www.rncp.cncp.gouv.fr/grand-public/visualisationFiche?format=fr&amp;fiche=9084","9084")</f>
        <v>9084</v>
      </c>
      <c r="D1776" s="4" t="str">
        <f>HYPERLINK("http://www.intercariforef.org/formations/certification-64639.html","64639")</f>
        <v>64639</v>
      </c>
      <c r="E1776" s="5">
        <v>140150</v>
      </c>
      <c r="F1776" s="5" t="s">
        <v>10</v>
      </c>
      <c r="G1776" s="5" t="s">
        <v>11</v>
      </c>
      <c r="H1776" s="3" t="s">
        <v>1937</v>
      </c>
    </row>
    <row r="1777" spans="1:8" ht="13.8" x14ac:dyDescent="0.25">
      <c r="A1777" s="3" t="s">
        <v>1890</v>
      </c>
      <c r="B1777" s="3" t="s">
        <v>2224</v>
      </c>
      <c r="C1777" s="4" t="str">
        <f>HYPERLINK("http://www.rncp.cncp.gouv.fr/grand-public/visualisationFiche?format=fr&amp;fiche=5387","5387")</f>
        <v>5387</v>
      </c>
      <c r="D1777" s="4" t="str">
        <f>HYPERLINK("http://www.intercariforef.org/formations/certification-80082.html","80082")</f>
        <v>80082</v>
      </c>
      <c r="E1777" s="5">
        <v>144413</v>
      </c>
      <c r="F1777" s="5" t="s">
        <v>10</v>
      </c>
      <c r="G1777" s="5" t="s">
        <v>11</v>
      </c>
      <c r="H1777" s="3" t="s">
        <v>2225</v>
      </c>
    </row>
    <row r="1778" spans="1:8" ht="13.8" x14ac:dyDescent="0.25">
      <c r="A1778" s="3" t="s">
        <v>1890</v>
      </c>
      <c r="B1778" s="3" t="s">
        <v>2226</v>
      </c>
      <c r="C1778" s="4" t="str">
        <f>HYPERLINK("http://www.rncp.cncp.gouv.fr/grand-public/visualisationFiche?format=fr&amp;fiche=13647","13647")</f>
        <v>13647</v>
      </c>
      <c r="D1778" s="4" t="str">
        <f>HYPERLINK("http://www.intercariforef.org/formations/certification-31429.html","31429")</f>
        <v>31429</v>
      </c>
      <c r="E1778" s="5">
        <v>144414</v>
      </c>
      <c r="F1778" s="5" t="s">
        <v>10</v>
      </c>
      <c r="G1778" s="5" t="s">
        <v>11</v>
      </c>
      <c r="H1778" s="3" t="s">
        <v>2227</v>
      </c>
    </row>
    <row r="1779" spans="1:8" ht="13.8" x14ac:dyDescent="0.25">
      <c r="A1779" s="3" t="s">
        <v>1890</v>
      </c>
      <c r="B1779" s="3" t="s">
        <v>2228</v>
      </c>
      <c r="C1779" s="4" t="str">
        <f>HYPERLINK("http://www.rncp.cncp.gouv.fr/grand-public/visualisationFiche?format=fr&amp;fiche=14294","14294")</f>
        <v>14294</v>
      </c>
      <c r="D1779" s="4" t="str">
        <f>HYPERLINK("http://www.intercariforef.org/formations/certification-58059.html","58059")</f>
        <v>58059</v>
      </c>
      <c r="E1779" s="5">
        <v>144415</v>
      </c>
      <c r="F1779" s="5" t="s">
        <v>10</v>
      </c>
      <c r="G1779" s="5" t="s">
        <v>11</v>
      </c>
      <c r="H1779" s="3" t="s">
        <v>2229</v>
      </c>
    </row>
    <row r="1780" spans="1:8" ht="13.8" x14ac:dyDescent="0.25">
      <c r="A1780" s="3" t="s">
        <v>1890</v>
      </c>
      <c r="B1780" s="3" t="s">
        <v>2230</v>
      </c>
      <c r="C1780" s="4" t="str">
        <f>HYPERLINK("http://www.rncp.cncp.gouv.fr/grand-public/visualisationFiche?format=fr&amp;fiche=6562","6562")</f>
        <v>6562</v>
      </c>
      <c r="D1780" s="4" t="str">
        <f>HYPERLINK("http://www.intercariforef.org/formations/certification-62696.html","62696")</f>
        <v>62696</v>
      </c>
      <c r="E1780" s="5">
        <v>144416</v>
      </c>
      <c r="F1780" s="5" t="s">
        <v>10</v>
      </c>
      <c r="G1780" s="5" t="s">
        <v>11</v>
      </c>
      <c r="H1780" s="3" t="s">
        <v>2231</v>
      </c>
    </row>
    <row r="1781" spans="1:8" ht="13.8" x14ac:dyDescent="0.25">
      <c r="A1781" s="3" t="s">
        <v>1890</v>
      </c>
      <c r="B1781" s="3" t="s">
        <v>2232</v>
      </c>
      <c r="C1781" s="4" t="str">
        <f>HYPERLINK("http://www.rncp.cncp.gouv.fr/grand-public/visualisationFiche?format=fr&amp;fiche=6066","6066")</f>
        <v>6066</v>
      </c>
      <c r="D1781" s="4" t="str">
        <f>HYPERLINK("http://www.intercariforef.org/formations/certification-59633.html","59633")</f>
        <v>59633</v>
      </c>
      <c r="E1781" s="5">
        <v>19235</v>
      </c>
      <c r="F1781" s="5" t="s">
        <v>10</v>
      </c>
      <c r="G1781" s="5" t="s">
        <v>11</v>
      </c>
      <c r="H1781" s="3" t="s">
        <v>2233</v>
      </c>
    </row>
    <row r="1782" spans="1:8" ht="13.8" x14ac:dyDescent="0.25">
      <c r="A1782" s="3" t="s">
        <v>1890</v>
      </c>
      <c r="B1782" s="3" t="s">
        <v>2234</v>
      </c>
      <c r="C1782" s="4" t="str">
        <f>HYPERLINK("http://www.rncp.cncp.gouv.fr/grand-public/visualisationFiche?format=fr&amp;fiche=1406","1406")</f>
        <v>1406</v>
      </c>
      <c r="D1782" s="4" t="str">
        <f>HYPERLINK("http://www.intercariforef.org/formations/certification-31450.html","31450")</f>
        <v>31450</v>
      </c>
      <c r="E1782" s="5">
        <v>144417</v>
      </c>
      <c r="F1782" s="5" t="s">
        <v>10</v>
      </c>
      <c r="G1782" s="5" t="s">
        <v>11</v>
      </c>
      <c r="H1782" s="3" t="s">
        <v>93</v>
      </c>
    </row>
    <row r="1783" spans="1:8" ht="13.8" x14ac:dyDescent="0.25">
      <c r="A1783" s="3" t="s">
        <v>1890</v>
      </c>
      <c r="B1783" s="3" t="s">
        <v>2235</v>
      </c>
      <c r="C1783" s="4" t="str">
        <f>HYPERLINK("http://www.rncp.cncp.gouv.fr/grand-public/visualisationFiche?format=fr&amp;fiche=16878","16878")</f>
        <v>16878</v>
      </c>
      <c r="D1783" s="4" t="str">
        <f>HYPERLINK("http://www.intercariforef.org/formations/certification-81337.html","81337")</f>
        <v>81337</v>
      </c>
      <c r="E1783" s="5">
        <v>144419</v>
      </c>
      <c r="F1783" s="5" t="s">
        <v>10</v>
      </c>
      <c r="G1783" s="5" t="s">
        <v>11</v>
      </c>
      <c r="H1783" s="3" t="s">
        <v>2236</v>
      </c>
    </row>
    <row r="1784" spans="1:8" ht="27.6" x14ac:dyDescent="0.25">
      <c r="A1784" s="3" t="s">
        <v>1890</v>
      </c>
      <c r="B1784" s="3" t="s">
        <v>2237</v>
      </c>
      <c r="C1784" s="4" t="str">
        <f>HYPERLINK("http://www.rncp.cncp.gouv.fr/grand-public/visualisationFiche?format=fr&amp;fiche=12973","12973")</f>
        <v>12973</v>
      </c>
      <c r="D1784" s="4" t="str">
        <f>HYPERLINK("http://www.intercariforef.org/formations/certification-76216.html","76216")</f>
        <v>76216</v>
      </c>
      <c r="E1784" s="5">
        <v>144418</v>
      </c>
      <c r="F1784" s="5" t="s">
        <v>10</v>
      </c>
      <c r="G1784" s="5" t="s">
        <v>11</v>
      </c>
      <c r="H1784" s="3" t="s">
        <v>2238</v>
      </c>
    </row>
    <row r="1785" spans="1:8" ht="13.8" x14ac:dyDescent="0.25">
      <c r="A1785" s="3" t="s">
        <v>1890</v>
      </c>
      <c r="B1785" s="3" t="s">
        <v>2239</v>
      </c>
      <c r="C1785" s="4" t="str">
        <f>HYPERLINK("http://www.rncp.cncp.gouv.fr/grand-public/visualisationFiche?format=fr&amp;fiche=15235","15235")</f>
        <v>15235</v>
      </c>
      <c r="D1785" s="4" t="str">
        <f>HYPERLINK("http://www.intercariforef.org/formations/certification-78977.html","78977")</f>
        <v>78977</v>
      </c>
      <c r="E1785" s="5">
        <v>144420</v>
      </c>
      <c r="F1785" s="5" t="s">
        <v>10</v>
      </c>
      <c r="G1785" s="5" t="s">
        <v>11</v>
      </c>
      <c r="H1785" s="3" t="s">
        <v>1740</v>
      </c>
    </row>
    <row r="1786" spans="1:8" ht="13.8" x14ac:dyDescent="0.25">
      <c r="A1786" s="3" t="s">
        <v>1890</v>
      </c>
      <c r="B1786" s="3" t="s">
        <v>2240</v>
      </c>
      <c r="C1786" s="4" t="str">
        <f>HYPERLINK("http://www.rncp.cncp.gouv.fr/grand-public/visualisationFiche?format=fr&amp;fiche=16880","16880")</f>
        <v>16880</v>
      </c>
      <c r="D1786" s="4" t="str">
        <f>HYPERLINK("http://www.intercariforef.org/formations/certification-81340.html","81340")</f>
        <v>81340</v>
      </c>
      <c r="E1786" s="5">
        <v>131010</v>
      </c>
      <c r="F1786" s="5" t="s">
        <v>10</v>
      </c>
      <c r="G1786" s="5" t="s">
        <v>11</v>
      </c>
      <c r="H1786" s="3" t="s">
        <v>2241</v>
      </c>
    </row>
    <row r="1787" spans="1:8" ht="27.6" x14ac:dyDescent="0.25">
      <c r="A1787" s="3" t="s">
        <v>1890</v>
      </c>
      <c r="B1787" s="3" t="s">
        <v>2242</v>
      </c>
      <c r="C1787" s="4" t="str">
        <f>HYPERLINK("http://www.rncp.cncp.gouv.fr/grand-public/visualisationFiche?format=fr&amp;fiche=4391","4391")</f>
        <v>4391</v>
      </c>
      <c r="D1787" s="4" t="str">
        <f>HYPERLINK("http://www.intercariforef.org/formations/certification-53330.html","53330")</f>
        <v>53330</v>
      </c>
      <c r="E1787" s="5">
        <v>144421</v>
      </c>
      <c r="F1787" s="5" t="s">
        <v>10</v>
      </c>
      <c r="G1787" s="5" t="s">
        <v>11</v>
      </c>
      <c r="H1787" s="3" t="s">
        <v>2243</v>
      </c>
    </row>
    <row r="1788" spans="1:8" ht="27.6" x14ac:dyDescent="0.25">
      <c r="A1788" s="3" t="s">
        <v>1890</v>
      </c>
      <c r="B1788" s="3" t="s">
        <v>2244</v>
      </c>
      <c r="C1788" s="4" t="str">
        <f>HYPERLINK("http://www.rncp.cncp.gouv.fr/grand-public/visualisationFiche?format=fr&amp;fiche=15239","15239")</f>
        <v>15239</v>
      </c>
      <c r="D1788" s="4" t="str">
        <f>HYPERLINK("http://www.intercariforef.org/formations/certification-79001.html","79001")</f>
        <v>79001</v>
      </c>
      <c r="E1788" s="5">
        <v>161362</v>
      </c>
      <c r="F1788" s="5" t="s">
        <v>10</v>
      </c>
      <c r="G1788" s="5" t="s">
        <v>11</v>
      </c>
      <c r="H1788" s="3" t="s">
        <v>2245</v>
      </c>
    </row>
    <row r="1789" spans="1:8" ht="27.6" x14ac:dyDescent="0.25">
      <c r="A1789" s="3" t="s">
        <v>1890</v>
      </c>
      <c r="B1789" s="3" t="s">
        <v>2246</v>
      </c>
      <c r="C1789" s="4" t="str">
        <f>HYPERLINK("http://www.rncp.cncp.gouv.fr/grand-public/visualisationFiche?format=fr&amp;fiche=13594","13594")</f>
        <v>13594</v>
      </c>
      <c r="D1789" s="4" t="str">
        <f>HYPERLINK("http://www.intercariforef.org/formations/certification-76753.html","76753")</f>
        <v>76753</v>
      </c>
      <c r="E1789" s="5">
        <v>161363</v>
      </c>
      <c r="F1789" s="5" t="s">
        <v>10</v>
      </c>
      <c r="G1789" s="5" t="s">
        <v>11</v>
      </c>
      <c r="H1789" s="3" t="s">
        <v>2247</v>
      </c>
    </row>
    <row r="1790" spans="1:8" ht="27.6" x14ac:dyDescent="0.25">
      <c r="A1790" s="3" t="s">
        <v>1890</v>
      </c>
      <c r="B1790" s="3" t="s">
        <v>2248</v>
      </c>
      <c r="C1790" s="4" t="str">
        <f>HYPERLINK("http://www.rncp.cncp.gouv.fr/grand-public/visualisationFiche?format=fr&amp;fiche=22114","22114")</f>
        <v>22114</v>
      </c>
      <c r="D1790" s="4" t="str">
        <f>HYPERLINK("http://www.intercariforef.org/formations/certification-74866.html","74866")</f>
        <v>74866</v>
      </c>
      <c r="E1790" s="5">
        <v>2467</v>
      </c>
      <c r="F1790" s="5" t="s">
        <v>10</v>
      </c>
      <c r="G1790" s="5" t="s">
        <v>11</v>
      </c>
      <c r="H1790" s="3" t="s">
        <v>1877</v>
      </c>
    </row>
    <row r="1791" spans="1:8" ht="27.6" x14ac:dyDescent="0.25">
      <c r="A1791" s="3" t="s">
        <v>1890</v>
      </c>
      <c r="B1791" s="3" t="s">
        <v>2249</v>
      </c>
      <c r="C1791" s="4" t="str">
        <f>HYPERLINK("http://www.rncp.cncp.gouv.fr/grand-public/visualisationFiche?format=fr&amp;fiche=19315","19315")</f>
        <v>19315</v>
      </c>
      <c r="D1791" s="4" t="str">
        <f>HYPERLINK("http://www.intercariforef.org/formations/certification-83201.html","83201")</f>
        <v>83201</v>
      </c>
      <c r="E1791" s="5">
        <v>2468</v>
      </c>
      <c r="F1791" s="5" t="s">
        <v>10</v>
      </c>
      <c r="G1791" s="5" t="s">
        <v>11</v>
      </c>
      <c r="H1791" s="3" t="s">
        <v>2250</v>
      </c>
    </row>
    <row r="1792" spans="1:8" ht="13.8" x14ac:dyDescent="0.25">
      <c r="A1792" s="3" t="s">
        <v>1890</v>
      </c>
      <c r="B1792" s="3" t="s">
        <v>2251</v>
      </c>
      <c r="C1792" s="4" t="str">
        <f>HYPERLINK("http://www.rncp.cncp.gouv.fr/grand-public/visualisationFiche?format=fr&amp;fiche=6069","6069")</f>
        <v>6069</v>
      </c>
      <c r="D1792" s="4" t="str">
        <f>HYPERLINK("http://www.intercariforef.org/formations/certification-59641.html","59641")</f>
        <v>59641</v>
      </c>
      <c r="E1792" s="5">
        <v>131011</v>
      </c>
      <c r="F1792" s="5" t="s">
        <v>10</v>
      </c>
      <c r="G1792" s="5" t="s">
        <v>11</v>
      </c>
      <c r="H1792" s="3" t="s">
        <v>2252</v>
      </c>
    </row>
    <row r="1793" spans="1:8" ht="13.8" x14ac:dyDescent="0.25">
      <c r="A1793" s="3" t="s">
        <v>1890</v>
      </c>
      <c r="B1793" s="3" t="s">
        <v>2253</v>
      </c>
      <c r="C1793" s="4" t="str">
        <f>HYPERLINK("http://www.rncp.cncp.gouv.fr/grand-public/visualisationFiche?format=fr&amp;fiche=17207","17207")</f>
        <v>17207</v>
      </c>
      <c r="D1793" s="4" t="str">
        <f>HYPERLINK("http://www.intercariforef.org/formations/certification-81540.html","81540")</f>
        <v>81540</v>
      </c>
      <c r="E1793" s="5">
        <v>161364</v>
      </c>
      <c r="F1793" s="5" t="s">
        <v>10</v>
      </c>
      <c r="G1793" s="5" t="s">
        <v>11</v>
      </c>
      <c r="H1793" s="3" t="s">
        <v>2254</v>
      </c>
    </row>
    <row r="1794" spans="1:8" ht="13.8" x14ac:dyDescent="0.25">
      <c r="A1794" s="3" t="s">
        <v>1890</v>
      </c>
      <c r="B1794" s="3" t="s">
        <v>2255</v>
      </c>
      <c r="C1794" s="4" t="str">
        <f>HYPERLINK("http://www.rncp.cncp.gouv.fr/grand-public/visualisationFiche?format=fr&amp;fiche=13886","13886")</f>
        <v>13886</v>
      </c>
      <c r="D1794" s="4" t="str">
        <f>HYPERLINK("http://www.intercariforef.org/formations/certification-77113.html","77113")</f>
        <v>77113</v>
      </c>
      <c r="E1794" s="5">
        <v>131014</v>
      </c>
      <c r="F1794" s="5" t="s">
        <v>10</v>
      </c>
      <c r="G1794" s="5" t="s">
        <v>11</v>
      </c>
      <c r="H1794" s="3" t="s">
        <v>2256</v>
      </c>
    </row>
    <row r="1795" spans="1:8" ht="13.8" x14ac:dyDescent="0.25">
      <c r="A1795" s="3" t="s">
        <v>1890</v>
      </c>
      <c r="B1795" s="3" t="s">
        <v>2257</v>
      </c>
      <c r="C1795" s="4" t="str">
        <f>HYPERLINK("http://www.rncp.cncp.gouv.fr/grand-public/visualisationFiche?format=fr&amp;fiche=19361","19361")</f>
        <v>19361</v>
      </c>
      <c r="D1795" s="4" t="str">
        <f>HYPERLINK("http://www.intercariforef.org/formations/certification-83353.html","83353")</f>
        <v>83353</v>
      </c>
      <c r="E1795" s="5">
        <v>144422</v>
      </c>
      <c r="F1795" s="5" t="s">
        <v>10</v>
      </c>
      <c r="G1795" s="5" t="s">
        <v>11</v>
      </c>
      <c r="H1795" s="3" t="s">
        <v>2258</v>
      </c>
    </row>
    <row r="1796" spans="1:8" ht="13.8" x14ac:dyDescent="0.25">
      <c r="A1796" s="3" t="s">
        <v>1890</v>
      </c>
      <c r="B1796" s="3" t="s">
        <v>2259</v>
      </c>
      <c r="C1796" s="4" t="str">
        <f>HYPERLINK("http://www.rncp.cncp.gouv.fr/grand-public/visualisationFiche?format=fr&amp;fiche=11510","11510")</f>
        <v>11510</v>
      </c>
      <c r="D1796" s="4" t="str">
        <f>HYPERLINK("http://www.intercariforef.org/formations/certification-72720.html","72720")</f>
        <v>72720</v>
      </c>
      <c r="E1796" s="5">
        <v>2520</v>
      </c>
      <c r="F1796" s="5" t="s">
        <v>10</v>
      </c>
      <c r="G1796" s="5" t="s">
        <v>11</v>
      </c>
      <c r="H1796" s="3" t="s">
        <v>2260</v>
      </c>
    </row>
    <row r="1797" spans="1:8" ht="27.6" x14ac:dyDescent="0.25">
      <c r="A1797" s="3" t="s">
        <v>1890</v>
      </c>
      <c r="B1797" s="3" t="s">
        <v>2261</v>
      </c>
      <c r="C1797" s="4" t="str">
        <f>HYPERLINK("http://www.rncp.cncp.gouv.fr/grand-public/visualisationFiche?format=fr&amp;fiche=2233","2233")</f>
        <v>2233</v>
      </c>
      <c r="D1797" s="4" t="str">
        <f>HYPERLINK("http://www.intercariforef.org/formations/certification-47350.html","47350")</f>
        <v>47350</v>
      </c>
      <c r="E1797" s="5">
        <v>144423</v>
      </c>
      <c r="F1797" s="5" t="s">
        <v>10</v>
      </c>
      <c r="G1797" s="5" t="s">
        <v>11</v>
      </c>
      <c r="H1797" s="3" t="s">
        <v>2262</v>
      </c>
    </row>
    <row r="1798" spans="1:8" ht="27.6" x14ac:dyDescent="0.25">
      <c r="A1798" s="3" t="s">
        <v>1890</v>
      </c>
      <c r="B1798" s="3" t="s">
        <v>2263</v>
      </c>
      <c r="C1798" s="4" t="str">
        <f>HYPERLINK("http://www.rncp.cncp.gouv.fr/grand-public/visualisationFiche?format=fr&amp;fiche=16154","16154")</f>
        <v>16154</v>
      </c>
      <c r="D1798" s="4" t="str">
        <f>HYPERLINK("http://www.intercariforef.org/formations/certification-77571.html","77571")</f>
        <v>77571</v>
      </c>
      <c r="E1798" s="5">
        <v>144817</v>
      </c>
      <c r="F1798" s="5" t="s">
        <v>10</v>
      </c>
      <c r="G1798" s="5" t="s">
        <v>11</v>
      </c>
      <c r="H1798" s="3" t="s">
        <v>2264</v>
      </c>
    </row>
    <row r="1799" spans="1:8" ht="13.8" x14ac:dyDescent="0.25">
      <c r="A1799" s="3" t="s">
        <v>1890</v>
      </c>
      <c r="B1799" s="3" t="s">
        <v>2265</v>
      </c>
      <c r="C1799" s="4" t="str">
        <f>HYPERLINK("http://www.rncp.cncp.gouv.fr/grand-public/visualisationFiche?format=fr&amp;fiche=4513","4513")</f>
        <v>4513</v>
      </c>
      <c r="D1799" s="4" t="str">
        <f>HYPERLINK("http://www.intercariforef.org/formations/certification-49148.html","49148")</f>
        <v>49148</v>
      </c>
      <c r="E1799" s="5">
        <v>144818</v>
      </c>
      <c r="F1799" s="5" t="s">
        <v>10</v>
      </c>
      <c r="G1799" s="5" t="s">
        <v>11</v>
      </c>
      <c r="H1799" s="3" t="s">
        <v>2266</v>
      </c>
    </row>
    <row r="1800" spans="1:8" ht="13.8" x14ac:dyDescent="0.25">
      <c r="A1800" s="3" t="s">
        <v>1890</v>
      </c>
      <c r="B1800" s="3" t="s">
        <v>2267</v>
      </c>
      <c r="C1800" s="4" t="str">
        <f>HYPERLINK("http://www.rncp.cncp.gouv.fr/grand-public/visualisationFiche?format=fr&amp;fiche=19214","19214")</f>
        <v>19214</v>
      </c>
      <c r="D1800" s="4" t="str">
        <f>HYPERLINK("http://www.intercariforef.org/formations/certification-83199.html","83199")</f>
        <v>83199</v>
      </c>
      <c r="E1800" s="5">
        <v>131013</v>
      </c>
      <c r="F1800" s="5" t="s">
        <v>10</v>
      </c>
      <c r="G1800" s="5" t="s">
        <v>11</v>
      </c>
      <c r="H1800" s="3" t="s">
        <v>2268</v>
      </c>
    </row>
    <row r="1801" spans="1:8" ht="27.6" x14ac:dyDescent="0.25">
      <c r="A1801" s="3" t="s">
        <v>1890</v>
      </c>
      <c r="B1801" s="3" t="s">
        <v>2269</v>
      </c>
      <c r="C1801" s="4" t="str">
        <f>HYPERLINK("http://www.rncp.cncp.gouv.fr/grand-public/visualisationFiche?format=fr&amp;fiche=19362","19362")</f>
        <v>19362</v>
      </c>
      <c r="D1801" s="4" t="str">
        <f>HYPERLINK("http://www.intercariforef.org/formations/certification-83354.html","83354")</f>
        <v>83354</v>
      </c>
      <c r="E1801" s="5">
        <v>144821</v>
      </c>
      <c r="F1801" s="5" t="s">
        <v>10</v>
      </c>
      <c r="G1801" s="5" t="s">
        <v>11</v>
      </c>
      <c r="H1801" s="3" t="s">
        <v>2270</v>
      </c>
    </row>
    <row r="1802" spans="1:8" ht="27.6" x14ac:dyDescent="0.25">
      <c r="A1802" s="3" t="s">
        <v>1890</v>
      </c>
      <c r="B1802" s="3" t="s">
        <v>2271</v>
      </c>
      <c r="C1802" s="4" t="str">
        <f>HYPERLINK("http://www.rncp.cncp.gouv.fr/grand-public/visualisationFiche?format=fr&amp;fiche=17782","17782")</f>
        <v>17782</v>
      </c>
      <c r="D1802" s="4" t="str">
        <f>HYPERLINK("http://www.intercariforef.org/formations/certification-80695.html","80695")</f>
        <v>80695</v>
      </c>
      <c r="E1802" s="5">
        <v>155017</v>
      </c>
      <c r="F1802" s="5" t="s">
        <v>10</v>
      </c>
      <c r="G1802" s="5" t="s">
        <v>11</v>
      </c>
      <c r="H1802" s="3" t="s">
        <v>1889</v>
      </c>
    </row>
    <row r="1803" spans="1:8" ht="27.6" x14ac:dyDescent="0.25">
      <c r="A1803" s="3" t="s">
        <v>1890</v>
      </c>
      <c r="B1803" s="3" t="s">
        <v>2272</v>
      </c>
      <c r="C1803" s="4" t="str">
        <f>HYPERLINK("http://www.rncp.cncp.gouv.fr/grand-public/visualisationFiche?format=fr&amp;fiche=6150","6150")</f>
        <v>6150</v>
      </c>
      <c r="D1803" s="4" t="str">
        <f>HYPERLINK("http://www.intercariforef.org/formations/certification-81505.html","81505")</f>
        <v>81505</v>
      </c>
      <c r="E1803" s="5">
        <v>135107</v>
      </c>
      <c r="F1803" s="5" t="s">
        <v>10</v>
      </c>
      <c r="G1803" s="5" t="s">
        <v>11</v>
      </c>
      <c r="H1803" s="3" t="s">
        <v>1889</v>
      </c>
    </row>
    <row r="1804" spans="1:8" ht="27.6" x14ac:dyDescent="0.25">
      <c r="A1804" s="3" t="s">
        <v>1890</v>
      </c>
      <c r="B1804" s="3" t="s">
        <v>2273</v>
      </c>
      <c r="C1804" s="4" t="str">
        <f>HYPERLINK("http://www.rncp.cncp.gouv.fr/grand-public/visualisationFiche?format=fr&amp;fiche=7465","7465")</f>
        <v>7465</v>
      </c>
      <c r="D1804" s="4" t="str">
        <f>HYPERLINK("http://www.intercariforef.org/formations/certification-82685.html","82685")</f>
        <v>82685</v>
      </c>
      <c r="E1804" s="5">
        <v>2586</v>
      </c>
      <c r="F1804" s="5" t="s">
        <v>10</v>
      </c>
      <c r="G1804" s="5" t="s">
        <v>11</v>
      </c>
      <c r="H1804" s="3" t="s">
        <v>1889</v>
      </c>
    </row>
    <row r="1805" spans="1:8" ht="27.6" x14ac:dyDescent="0.25">
      <c r="A1805" s="3" t="s">
        <v>1890</v>
      </c>
      <c r="B1805" s="3" t="s">
        <v>2274</v>
      </c>
      <c r="C1805" s="4" t="str">
        <f>HYPERLINK("http://www.rncp.cncp.gouv.fr/grand-public/visualisationFiche?format=fr&amp;fiche=10013","10013")</f>
        <v>10013</v>
      </c>
      <c r="D1805" s="4" t="str">
        <f>HYPERLINK("http://www.intercariforef.org/formations/certification-71520.html","71520")</f>
        <v>71520</v>
      </c>
      <c r="E1805" s="5">
        <v>16441</v>
      </c>
      <c r="F1805" s="5" t="s">
        <v>10</v>
      </c>
      <c r="G1805" s="5" t="s">
        <v>11</v>
      </c>
      <c r="H1805" s="3" t="s">
        <v>1889</v>
      </c>
    </row>
    <row r="1806" spans="1:8" ht="27.6" x14ac:dyDescent="0.25">
      <c r="A1806" s="3" t="s">
        <v>1890</v>
      </c>
      <c r="B1806" s="3" t="s">
        <v>2275</v>
      </c>
      <c r="C1806" s="4" t="str">
        <f>HYPERLINK("http://www.rncp.cncp.gouv.fr/grand-public/visualisationFiche?format=fr&amp;fiche=6161","6161")</f>
        <v>6161</v>
      </c>
      <c r="D1806" s="4" t="str">
        <f>HYPERLINK("http://www.intercariforef.org/formations/certification-81506.html","81506")</f>
        <v>81506</v>
      </c>
      <c r="E1806" s="5">
        <v>2584</v>
      </c>
      <c r="F1806" s="5" t="s">
        <v>10</v>
      </c>
      <c r="G1806" s="5" t="s">
        <v>11</v>
      </c>
      <c r="H1806" s="3" t="s">
        <v>1889</v>
      </c>
    </row>
    <row r="1807" spans="1:8" ht="27.6" x14ac:dyDescent="0.25">
      <c r="A1807" s="3" t="s">
        <v>1890</v>
      </c>
      <c r="B1807" s="3" t="s">
        <v>2276</v>
      </c>
      <c r="C1807" s="4" t="str">
        <f>HYPERLINK("http://www.rncp.cncp.gouv.fr/grand-public/visualisationFiche?format=fr&amp;fiche=12492","12492")</f>
        <v>12492</v>
      </c>
      <c r="D1807" s="4" t="str">
        <f>HYPERLINK("http://www.intercariforef.org/formations/certification-74668.html","74668")</f>
        <v>74668</v>
      </c>
      <c r="E1807" s="5">
        <v>131018</v>
      </c>
      <c r="F1807" s="5" t="s">
        <v>10</v>
      </c>
      <c r="G1807" s="5" t="s">
        <v>11</v>
      </c>
      <c r="H1807" s="3" t="s">
        <v>1889</v>
      </c>
    </row>
    <row r="1808" spans="1:8" ht="27.6" x14ac:dyDescent="0.25">
      <c r="A1808" s="3" t="s">
        <v>1890</v>
      </c>
      <c r="B1808" s="3" t="s">
        <v>2277</v>
      </c>
      <c r="C1808" s="4" t="str">
        <f>HYPERLINK("http://www.rncp.cncp.gouv.fr/grand-public/visualisationFiche?format=fr&amp;fiche=6398","6398")</f>
        <v>6398</v>
      </c>
      <c r="D1808" s="4" t="str">
        <f>HYPERLINK("http://www.intercariforef.org/formations/certification-81504.html","81504")</f>
        <v>81504</v>
      </c>
      <c r="E1808" s="5">
        <v>2314</v>
      </c>
      <c r="F1808" s="5" t="s">
        <v>10</v>
      </c>
      <c r="G1808" s="5" t="s">
        <v>11</v>
      </c>
      <c r="H1808" s="3" t="s">
        <v>1889</v>
      </c>
    </row>
    <row r="1809" spans="1:8" ht="27.6" x14ac:dyDescent="0.25">
      <c r="A1809" s="3" t="s">
        <v>1890</v>
      </c>
      <c r="B1809" s="3" t="s">
        <v>2278</v>
      </c>
      <c r="C1809" s="4" t="str">
        <f>HYPERLINK("http://www.rncp.cncp.gouv.fr/grand-public/visualisationFiche?format=fr&amp;fiche=1796","1796")</f>
        <v>1796</v>
      </c>
      <c r="D1809" s="4" t="str">
        <f>HYPERLINK("http://www.intercariforef.org/formations/certification-81020.html","81020")</f>
        <v>81020</v>
      </c>
      <c r="E1809" s="5">
        <v>131023</v>
      </c>
      <c r="F1809" s="5" t="s">
        <v>10</v>
      </c>
      <c r="G1809" s="5" t="s">
        <v>11</v>
      </c>
      <c r="H1809" s="3" t="s">
        <v>1889</v>
      </c>
    </row>
    <row r="1810" spans="1:8" ht="27.6" x14ac:dyDescent="0.25">
      <c r="A1810" s="3" t="s">
        <v>1890</v>
      </c>
      <c r="B1810" s="3" t="s">
        <v>2279</v>
      </c>
      <c r="C1810" s="4" t="str">
        <f>HYPERLINK("http://www.rncp.cncp.gouv.fr/grand-public/visualisationFiche?format=fr&amp;fiche=1850","1850")</f>
        <v>1850</v>
      </c>
      <c r="D1810" s="4" t="str">
        <f>HYPERLINK("http://www.intercariforef.org/formations/certification-25034.html","25034")</f>
        <v>25034</v>
      </c>
      <c r="E1810" s="5">
        <v>131020</v>
      </c>
      <c r="F1810" s="5" t="s">
        <v>10</v>
      </c>
      <c r="G1810" s="5" t="s">
        <v>11</v>
      </c>
      <c r="H1810" s="3" t="s">
        <v>1889</v>
      </c>
    </row>
    <row r="1811" spans="1:8" ht="27.6" x14ac:dyDescent="0.25">
      <c r="A1811" s="3" t="s">
        <v>1890</v>
      </c>
      <c r="B1811" s="3" t="s">
        <v>2280</v>
      </c>
      <c r="C1811" s="4" t="str">
        <f>HYPERLINK("http://www.rncp.cncp.gouv.fr/grand-public/visualisationFiche?format=fr&amp;fiche=1851","1851")</f>
        <v>1851</v>
      </c>
      <c r="D1811" s="4" t="str">
        <f>HYPERLINK("http://www.intercariforef.org/formations/certification-25035.html","25035")</f>
        <v>25035</v>
      </c>
      <c r="E1811" s="5">
        <v>131021</v>
      </c>
      <c r="F1811" s="5" t="s">
        <v>10</v>
      </c>
      <c r="G1811" s="5" t="s">
        <v>11</v>
      </c>
      <c r="H1811" s="3" t="s">
        <v>1889</v>
      </c>
    </row>
    <row r="1812" spans="1:8" ht="27.6" x14ac:dyDescent="0.25">
      <c r="A1812" s="3" t="s">
        <v>1890</v>
      </c>
      <c r="B1812" s="3" t="s">
        <v>2281</v>
      </c>
      <c r="C1812" s="4" t="str">
        <f>HYPERLINK("http://www.rncp.cncp.gouv.fr/grand-public/visualisationFiche?format=fr&amp;fiche=1849","1849")</f>
        <v>1849</v>
      </c>
      <c r="D1812" s="4" t="str">
        <f>HYPERLINK("http://www.intercariforef.org/formations/certification-25036.html","25036")</f>
        <v>25036</v>
      </c>
      <c r="E1812" s="5">
        <v>131022</v>
      </c>
      <c r="F1812" s="5" t="s">
        <v>10</v>
      </c>
      <c r="G1812" s="5" t="s">
        <v>11</v>
      </c>
      <c r="H1812" s="3" t="s">
        <v>1889</v>
      </c>
    </row>
    <row r="1813" spans="1:8" ht="27.6" x14ac:dyDescent="0.25">
      <c r="A1813" s="3" t="s">
        <v>1890</v>
      </c>
      <c r="B1813" s="3" t="s">
        <v>2282</v>
      </c>
      <c r="C1813" s="4" t="str">
        <f>HYPERLINK("http://www.rncp.cncp.gouv.fr/grand-public/visualisationFiche?format=fr&amp;fiche=403","403")</f>
        <v>403</v>
      </c>
      <c r="D1813" s="4" t="str">
        <f>HYPERLINK("http://www.intercariforef.org/formations/certification-80539.html","80539")</f>
        <v>80539</v>
      </c>
      <c r="E1813" s="5">
        <v>161366</v>
      </c>
      <c r="F1813" s="5" t="s">
        <v>10</v>
      </c>
      <c r="G1813" s="5" t="s">
        <v>11</v>
      </c>
      <c r="H1813" s="3" t="s">
        <v>1889</v>
      </c>
    </row>
    <row r="1814" spans="1:8" ht="27.6" x14ac:dyDescent="0.25">
      <c r="A1814" s="3" t="s">
        <v>1890</v>
      </c>
      <c r="B1814" s="3" t="s">
        <v>2283</v>
      </c>
      <c r="C1814" s="4" t="str">
        <f>HYPERLINK("http://www.rncp.cncp.gouv.fr/grand-public/visualisationFiche?format=fr&amp;fiche=19319","19319")</f>
        <v>19319</v>
      </c>
      <c r="D1814" s="4" t="str">
        <f>HYPERLINK("http://www.intercariforef.org/formations/certification-83339.html","83339")</f>
        <v>83339</v>
      </c>
      <c r="E1814" s="5">
        <v>131019</v>
      </c>
      <c r="F1814" s="5" t="s">
        <v>10</v>
      </c>
      <c r="G1814" s="5" t="s">
        <v>11</v>
      </c>
      <c r="H1814" s="3" t="s">
        <v>1889</v>
      </c>
    </row>
    <row r="1815" spans="1:8" ht="27.6" x14ac:dyDescent="0.25">
      <c r="A1815" s="3" t="s">
        <v>1890</v>
      </c>
      <c r="B1815" s="3" t="s">
        <v>2284</v>
      </c>
      <c r="C1815" s="4" t="str">
        <f>HYPERLINK("http://www.rncp.cncp.gouv.fr/grand-public/visualisationFiche?format=fr&amp;fiche=9579","9579")</f>
        <v>9579</v>
      </c>
      <c r="D1815" s="4" t="str">
        <f>HYPERLINK("http://www.intercariforef.org/formations/certification-69277.html","69277")</f>
        <v>69277</v>
      </c>
      <c r="E1815" s="5">
        <v>131024</v>
      </c>
      <c r="F1815" s="5" t="s">
        <v>10</v>
      </c>
      <c r="G1815" s="5" t="s">
        <v>11</v>
      </c>
      <c r="H1815" s="3" t="s">
        <v>1889</v>
      </c>
    </row>
    <row r="1816" spans="1:8" ht="27.6" x14ac:dyDescent="0.25">
      <c r="A1816" s="3" t="s">
        <v>1890</v>
      </c>
      <c r="B1816" s="3" t="s">
        <v>2285</v>
      </c>
      <c r="C1816" s="4" t="str">
        <f>HYPERLINK("http://www.rncp.cncp.gouv.fr/grand-public/visualisationFiche?format=fr&amp;fiche=5927","5927")</f>
        <v>5927</v>
      </c>
      <c r="D1816" s="4" t="str">
        <f>HYPERLINK("http://www.intercariforef.org/formations/certification-80738.html","80738")</f>
        <v>80738</v>
      </c>
      <c r="E1816" s="5">
        <v>2549</v>
      </c>
      <c r="F1816" s="5" t="s">
        <v>10</v>
      </c>
      <c r="G1816" s="5" t="s">
        <v>11</v>
      </c>
      <c r="H1816" s="3" t="s">
        <v>1889</v>
      </c>
    </row>
    <row r="1817" spans="1:8" ht="27.6" x14ac:dyDescent="0.25">
      <c r="A1817" s="3" t="s">
        <v>1890</v>
      </c>
      <c r="B1817" s="3" t="s">
        <v>2286</v>
      </c>
      <c r="C1817" s="4" t="str">
        <f>HYPERLINK("http://www.rncp.cncp.gouv.fr/grand-public/visualisationFiche?format=fr&amp;fiche=4113","4113")</f>
        <v>4113</v>
      </c>
      <c r="D1817" s="4" t="str">
        <f>HYPERLINK("http://www.intercariforef.org/formations/certification-82687.html","82687")</f>
        <v>82687</v>
      </c>
      <c r="E1817" s="5">
        <v>2592</v>
      </c>
      <c r="F1817" s="5" t="s">
        <v>10</v>
      </c>
      <c r="G1817" s="5" t="s">
        <v>11</v>
      </c>
      <c r="H1817" s="3" t="s">
        <v>1889</v>
      </c>
    </row>
    <row r="1818" spans="1:8" ht="27.6" x14ac:dyDescent="0.25">
      <c r="A1818" s="3" t="s">
        <v>1890</v>
      </c>
      <c r="B1818" s="3" t="s">
        <v>2287</v>
      </c>
      <c r="C1818" s="4" t="str">
        <f>HYPERLINK("http://www.rncp.cncp.gouv.fr/grand-public/visualisationFiche?format=fr&amp;fiche=13733","13733")</f>
        <v>13733</v>
      </c>
      <c r="D1818" s="4" t="str">
        <f>HYPERLINK("http://www.intercariforef.org/formations/certification-76722.html","76722")</f>
        <v>76722</v>
      </c>
      <c r="E1818" s="5">
        <v>2593</v>
      </c>
      <c r="F1818" s="5" t="s">
        <v>10</v>
      </c>
      <c r="G1818" s="5" t="s">
        <v>11</v>
      </c>
      <c r="H1818" s="3" t="s">
        <v>1889</v>
      </c>
    </row>
    <row r="1819" spans="1:8" ht="27.6" x14ac:dyDescent="0.25">
      <c r="A1819" s="3" t="s">
        <v>1890</v>
      </c>
      <c r="B1819" s="3" t="s">
        <v>2288</v>
      </c>
      <c r="C1819" s="4" t="str">
        <f>HYPERLINK("http://www.rncp.cncp.gouv.fr/grand-public/visualisationFiche?format=fr&amp;fiche=221","221")</f>
        <v>221</v>
      </c>
      <c r="D1819" s="4" t="str">
        <f>HYPERLINK("http://www.intercariforef.org/formations/certification-25097.html","25097")</f>
        <v>25097</v>
      </c>
      <c r="E1819" s="5">
        <v>2594</v>
      </c>
      <c r="F1819" s="5" t="s">
        <v>10</v>
      </c>
      <c r="G1819" s="5" t="s">
        <v>11</v>
      </c>
      <c r="H1819" s="3" t="s">
        <v>1889</v>
      </c>
    </row>
    <row r="1820" spans="1:8" ht="27.6" x14ac:dyDescent="0.25">
      <c r="A1820" s="3" t="s">
        <v>1890</v>
      </c>
      <c r="B1820" s="3" t="s">
        <v>2289</v>
      </c>
      <c r="C1820" s="4" t="str">
        <f>HYPERLINK("http://www.rncp.cncp.gouv.fr/grand-public/visualisationFiche?format=fr&amp;fiche=1889","1889")</f>
        <v>1889</v>
      </c>
      <c r="D1820" s="4" t="str">
        <f>HYPERLINK("http://www.intercariforef.org/formations/certification-82509.html","82509")</f>
        <v>82509</v>
      </c>
      <c r="E1820" s="5">
        <v>2470</v>
      </c>
      <c r="F1820" s="5" t="s">
        <v>10</v>
      </c>
      <c r="G1820" s="5" t="s">
        <v>11</v>
      </c>
      <c r="H1820" s="3" t="s">
        <v>1889</v>
      </c>
    </row>
    <row r="1821" spans="1:8" ht="27.6" x14ac:dyDescent="0.25">
      <c r="A1821" s="3" t="s">
        <v>1890</v>
      </c>
      <c r="B1821" s="3" t="s">
        <v>2290</v>
      </c>
      <c r="C1821" s="4" t="str">
        <f>HYPERLINK("http://www.rncp.cncp.gouv.fr/grand-public/visualisationFiche?format=fr&amp;fiche=7141","7141")</f>
        <v>7141</v>
      </c>
      <c r="D1821" s="4" t="str">
        <f>HYPERLINK("http://www.intercariforef.org/formations/certification-82511.html","82511")</f>
        <v>82511</v>
      </c>
      <c r="E1821" s="5">
        <v>2466</v>
      </c>
      <c r="F1821" s="5" t="s">
        <v>10</v>
      </c>
      <c r="G1821" s="5" t="s">
        <v>11</v>
      </c>
      <c r="H1821" s="3" t="s">
        <v>1889</v>
      </c>
    </row>
    <row r="1822" spans="1:8" ht="27.6" x14ac:dyDescent="0.25">
      <c r="A1822" s="3" t="s">
        <v>1890</v>
      </c>
      <c r="B1822" s="3" t="s">
        <v>2291</v>
      </c>
      <c r="C1822" s="4" t="str">
        <f>HYPERLINK("http://www.rncp.cncp.gouv.fr/grand-public/visualisationFiche?format=fr&amp;fiche=1895","1895")</f>
        <v>1895</v>
      </c>
      <c r="D1822" s="4" t="str">
        <f>HYPERLINK("http://www.intercariforef.org/formations/certification-25226.html","25226")</f>
        <v>25226</v>
      </c>
      <c r="E1822" s="5">
        <v>131009</v>
      </c>
      <c r="F1822" s="5" t="s">
        <v>10</v>
      </c>
      <c r="G1822" s="5" t="s">
        <v>11</v>
      </c>
      <c r="H1822" s="3" t="s">
        <v>1889</v>
      </c>
    </row>
    <row r="1823" spans="1:8" ht="27.6" x14ac:dyDescent="0.25">
      <c r="A1823" s="3" t="s">
        <v>1890</v>
      </c>
      <c r="B1823" s="3" t="s">
        <v>2292</v>
      </c>
      <c r="C1823" s="4" t="str">
        <f>HYPERLINK("http://www.rncp.cncp.gouv.fr/grand-public/visualisationFiche?format=fr&amp;fiche=12505","12505")</f>
        <v>12505</v>
      </c>
      <c r="D1823" s="4" t="str">
        <f>HYPERLINK("http://www.intercariforef.org/formations/certification-53827.html","53827")</f>
        <v>53827</v>
      </c>
      <c r="E1823" s="5">
        <v>131012</v>
      </c>
      <c r="F1823" s="5" t="s">
        <v>10</v>
      </c>
      <c r="G1823" s="5" t="s">
        <v>11</v>
      </c>
      <c r="H1823" s="3" t="s">
        <v>1889</v>
      </c>
    </row>
    <row r="1824" spans="1:8" ht="27.6" x14ac:dyDescent="0.25">
      <c r="A1824" s="3" t="s">
        <v>1890</v>
      </c>
      <c r="B1824" s="3" t="s">
        <v>2293</v>
      </c>
      <c r="C1824" s="4" t="str">
        <f>HYPERLINK("http://www.rncp.cncp.gouv.fr/grand-public/visualisationFiche?format=fr&amp;fiche=1830","1830")</f>
        <v>1830</v>
      </c>
      <c r="D1824" s="4" t="str">
        <f>HYPERLINK("http://www.intercariforef.org/formations/certification-25382.html","25382")</f>
        <v>25382</v>
      </c>
      <c r="E1824" s="5">
        <v>131027</v>
      </c>
      <c r="F1824" s="5" t="s">
        <v>10</v>
      </c>
      <c r="G1824" s="5" t="s">
        <v>11</v>
      </c>
      <c r="H1824" s="3" t="s">
        <v>1889</v>
      </c>
    </row>
    <row r="1825" spans="1:8" ht="27.6" x14ac:dyDescent="0.25">
      <c r="A1825" s="3" t="s">
        <v>1890</v>
      </c>
      <c r="B1825" s="3" t="s">
        <v>2294</v>
      </c>
      <c r="C1825" s="4" t="str">
        <f>HYPERLINK("http://www.rncp.cncp.gouv.fr/grand-public/visualisationFiche?format=fr&amp;fiche=2469","2469")</f>
        <v>2469</v>
      </c>
      <c r="D1825" s="4" t="str">
        <f>HYPERLINK("http://www.intercariforef.org/formations/certification-31969.html","31969")</f>
        <v>31969</v>
      </c>
      <c r="E1825" s="5">
        <v>131015</v>
      </c>
      <c r="F1825" s="5" t="s">
        <v>10</v>
      </c>
      <c r="G1825" s="5" t="s">
        <v>11</v>
      </c>
      <c r="H1825" s="3" t="s">
        <v>1889</v>
      </c>
    </row>
    <row r="1826" spans="1:8" ht="27.6" x14ac:dyDescent="0.25">
      <c r="A1826" s="3" t="s">
        <v>1890</v>
      </c>
      <c r="B1826" s="3" t="s">
        <v>2295</v>
      </c>
      <c r="C1826" s="4" t="str">
        <f>HYPERLINK("http://www.rncp.cncp.gouv.fr/grand-public/visualisationFiche?format=fr&amp;fiche=4033","4033")</f>
        <v>4033</v>
      </c>
      <c r="D1826" s="4" t="str">
        <f>HYPERLINK("http://www.intercariforef.org/formations/certification-82655.html","82655")</f>
        <v>82655</v>
      </c>
      <c r="E1826" s="5">
        <v>155018</v>
      </c>
      <c r="F1826" s="5" t="s">
        <v>10</v>
      </c>
      <c r="G1826" s="5" t="s">
        <v>11</v>
      </c>
      <c r="H1826" s="3" t="s">
        <v>1889</v>
      </c>
    </row>
    <row r="1827" spans="1:8" ht="27.6" x14ac:dyDescent="0.25">
      <c r="A1827" s="3" t="s">
        <v>1890</v>
      </c>
      <c r="B1827" s="3" t="s">
        <v>2296</v>
      </c>
      <c r="C1827" s="4" t="str">
        <f>HYPERLINK("http://www.rncp.cncp.gouv.fr/grand-public/visualisationFiche?format=fr&amp;fiche=1827","1827")</f>
        <v>1827</v>
      </c>
      <c r="D1827" s="4" t="str">
        <f>HYPERLINK("http://www.intercariforef.org/formations/certification-25388.html","25388")</f>
        <v>25388</v>
      </c>
      <c r="E1827" s="5">
        <v>131025</v>
      </c>
      <c r="F1827" s="5" t="s">
        <v>10</v>
      </c>
      <c r="G1827" s="5" t="s">
        <v>11</v>
      </c>
      <c r="H1827" s="3" t="s">
        <v>1889</v>
      </c>
    </row>
    <row r="1828" spans="1:8" ht="27.6" x14ac:dyDescent="0.25">
      <c r="A1828" s="3" t="s">
        <v>1890</v>
      </c>
      <c r="B1828" s="3" t="s">
        <v>2297</v>
      </c>
      <c r="C1828" s="4" t="str">
        <f>HYPERLINK("http://www.rncp.cncp.gouv.fr/grand-public/visualisationFiche?format=fr&amp;fiche=1828","1828")</f>
        <v>1828</v>
      </c>
      <c r="D1828" s="4" t="str">
        <f>HYPERLINK("http://www.intercariforef.org/formations/certification-81025.html","81025")</f>
        <v>81025</v>
      </c>
      <c r="E1828" s="5">
        <v>131026</v>
      </c>
      <c r="F1828" s="5" t="s">
        <v>10</v>
      </c>
      <c r="G1828" s="5" t="s">
        <v>11</v>
      </c>
      <c r="H1828" s="3" t="s">
        <v>1889</v>
      </c>
    </row>
    <row r="1829" spans="1:8" ht="27.6" x14ac:dyDescent="0.25">
      <c r="A1829" s="3" t="s">
        <v>1890</v>
      </c>
      <c r="B1829" s="3" t="s">
        <v>2298</v>
      </c>
      <c r="C1829" s="4" t="str">
        <f>HYPERLINK("http://www.rncp.cncp.gouv.fr/grand-public/visualisationFiche?format=fr&amp;fiche=1272","1272")</f>
        <v>1272</v>
      </c>
      <c r="D1829" s="4" t="str">
        <f>HYPERLINK("http://www.intercariforef.org/formations/certification-25394.html","25394")</f>
        <v>25394</v>
      </c>
      <c r="E1829" s="5">
        <v>131028</v>
      </c>
      <c r="F1829" s="5" t="s">
        <v>10</v>
      </c>
      <c r="G1829" s="5" t="s">
        <v>11</v>
      </c>
      <c r="H1829" s="3" t="s">
        <v>1889</v>
      </c>
    </row>
    <row r="1830" spans="1:8" ht="27.6" x14ac:dyDescent="0.25">
      <c r="A1830" s="3" t="s">
        <v>1890</v>
      </c>
      <c r="B1830" s="3" t="s">
        <v>2299</v>
      </c>
      <c r="C1830" s="4" t="str">
        <f>HYPERLINK("http://www.rncp.cncp.gouv.fr/grand-public/visualisationFiche?format=fr&amp;fiche=17987","17987")</f>
        <v>17987</v>
      </c>
      <c r="D1830" s="4" t="str">
        <f>HYPERLINK("http://www.intercariforef.org/formations/certification-57928.html","57928")</f>
        <v>57928</v>
      </c>
      <c r="E1830" s="5">
        <v>2595</v>
      </c>
      <c r="F1830" s="5" t="s">
        <v>10</v>
      </c>
      <c r="G1830" s="5" t="s">
        <v>11</v>
      </c>
      <c r="H1830" s="3" t="s">
        <v>1889</v>
      </c>
    </row>
    <row r="1831" spans="1:8" ht="27.6" x14ac:dyDescent="0.25">
      <c r="A1831" s="3" t="s">
        <v>1890</v>
      </c>
      <c r="B1831" s="3" t="s">
        <v>2300</v>
      </c>
      <c r="C1831" s="4" t="str">
        <f>HYPERLINK("http://www.rncp.cncp.gouv.fr/grand-public/visualisationFiche?format=fr&amp;fiche=5914","5914")</f>
        <v>5914</v>
      </c>
      <c r="D1831" s="4" t="str">
        <f>HYPERLINK("http://www.intercariforef.org/formations/certification-80740.html","80740")</f>
        <v>80740</v>
      </c>
      <c r="E1831" s="5">
        <v>131017</v>
      </c>
      <c r="F1831" s="5" t="s">
        <v>10</v>
      </c>
      <c r="G1831" s="5" t="s">
        <v>11</v>
      </c>
      <c r="H1831" s="3" t="s">
        <v>1889</v>
      </c>
    </row>
    <row r="1832" spans="1:8" ht="27.6" x14ac:dyDescent="0.25">
      <c r="A1832" s="3" t="s">
        <v>1890</v>
      </c>
      <c r="B1832" s="3" t="s">
        <v>2301</v>
      </c>
      <c r="C1832" s="4" t="str">
        <f>HYPERLINK("http://www.rncp.cncp.gouv.fr/grand-public/visualisationFiche?format=fr&amp;fiche=1829","1829")</f>
        <v>1829</v>
      </c>
      <c r="D1832" s="4" t="str">
        <f>HYPERLINK("http://www.intercariforef.org/formations/certification-25413.html","25413")</f>
        <v>25413</v>
      </c>
      <c r="E1832" s="5">
        <v>131029</v>
      </c>
      <c r="F1832" s="5" t="s">
        <v>10</v>
      </c>
      <c r="G1832" s="5" t="s">
        <v>11</v>
      </c>
      <c r="H1832" s="3" t="s">
        <v>1889</v>
      </c>
    </row>
    <row r="1833" spans="1:8" ht="27.6" x14ac:dyDescent="0.25">
      <c r="A1833" s="3" t="s">
        <v>1890</v>
      </c>
      <c r="B1833" s="3" t="s">
        <v>2302</v>
      </c>
      <c r="C1833" s="4" t="str">
        <f>HYPERLINK("http://www.rncp.cncp.gouv.fr/grand-public/visualisationFiche?format=fr&amp;fiche=7159","7159")</f>
        <v>7159</v>
      </c>
      <c r="D1833" s="4" t="str">
        <f>HYPERLINK("http://www.intercariforef.org/formations/certification-63403.html","63403")</f>
        <v>63403</v>
      </c>
      <c r="E1833" s="5">
        <v>144822</v>
      </c>
      <c r="F1833" s="5" t="s">
        <v>10</v>
      </c>
      <c r="G1833" s="5" t="s">
        <v>11</v>
      </c>
      <c r="H1833" s="3" t="s">
        <v>1889</v>
      </c>
    </row>
    <row r="1834" spans="1:8" ht="27.6" x14ac:dyDescent="0.25">
      <c r="A1834" s="3" t="s">
        <v>1890</v>
      </c>
      <c r="B1834" s="3" t="s">
        <v>2303</v>
      </c>
      <c r="C1834" s="4" t="str">
        <f>HYPERLINK("http://www.rncp.cncp.gouv.fr/grand-public/visualisationFiche?format=fr&amp;fiche=12373","12373")</f>
        <v>12373</v>
      </c>
      <c r="D1834" s="4" t="str">
        <f>HYPERLINK("http://www.intercariforef.org/formations/certification-53363.html","53363")</f>
        <v>53363</v>
      </c>
      <c r="E1834" s="5">
        <v>144823</v>
      </c>
      <c r="F1834" s="5" t="s">
        <v>10</v>
      </c>
      <c r="G1834" s="5" t="s">
        <v>11</v>
      </c>
      <c r="H1834" s="3" t="s">
        <v>2304</v>
      </c>
    </row>
    <row r="1835" spans="1:8" ht="27.6" x14ac:dyDescent="0.25">
      <c r="A1835" s="3" t="s">
        <v>1890</v>
      </c>
      <c r="B1835" s="3" t="s">
        <v>2305</v>
      </c>
      <c r="C1835" s="4" t="str">
        <f>HYPERLINK("http://www.rncp.cncp.gouv.fr/grand-public/visualisationFiche?format=fr&amp;fiche=5182","5182")</f>
        <v>5182</v>
      </c>
      <c r="D1835" s="4" t="str">
        <f>HYPERLINK("http://www.intercariforef.org/formations/certification-65497.html","65497")</f>
        <v>65497</v>
      </c>
      <c r="E1835" s="5">
        <v>16252</v>
      </c>
      <c r="F1835" s="5" t="s">
        <v>10</v>
      </c>
      <c r="G1835" s="5" t="s">
        <v>11</v>
      </c>
      <c r="H1835" s="3" t="s">
        <v>81</v>
      </c>
    </row>
    <row r="1836" spans="1:8" ht="27.6" x14ac:dyDescent="0.25">
      <c r="A1836" s="3" t="s">
        <v>1890</v>
      </c>
      <c r="B1836" s="3" t="s">
        <v>2306</v>
      </c>
      <c r="C1836" s="4" t="str">
        <f>HYPERLINK("http://www.rncp.cncp.gouv.fr/grand-public/visualisationFiche?format=fr&amp;fiche=5040","5040")</f>
        <v>5040</v>
      </c>
      <c r="D1836" s="4" t="str">
        <f>HYPERLINK("http://www.intercariforef.org/formations/certification-65499.html","65499")</f>
        <v>65499</v>
      </c>
      <c r="E1836" s="5">
        <v>16253</v>
      </c>
      <c r="F1836" s="5" t="s">
        <v>10</v>
      </c>
      <c r="G1836" s="5" t="s">
        <v>11</v>
      </c>
      <c r="H1836" s="3" t="s">
        <v>81</v>
      </c>
    </row>
    <row r="1837" spans="1:8" ht="27.6" x14ac:dyDescent="0.25">
      <c r="A1837" s="3" t="s">
        <v>1890</v>
      </c>
      <c r="B1837" s="3" t="s">
        <v>2307</v>
      </c>
      <c r="C1837" s="4" t="str">
        <f>HYPERLINK("http://www.rncp.cncp.gouv.fr/grand-public/visualisationFiche?format=fr&amp;fiche=5197","5197")</f>
        <v>5197</v>
      </c>
      <c r="D1837" s="4" t="str">
        <f>HYPERLINK("http://www.intercariforef.org/formations/certification-80628.html","80628")</f>
        <v>80628</v>
      </c>
      <c r="E1837" s="5">
        <v>144407</v>
      </c>
      <c r="F1837" s="5" t="s">
        <v>10</v>
      </c>
      <c r="G1837" s="5" t="s">
        <v>11</v>
      </c>
      <c r="H1837" s="3" t="s">
        <v>81</v>
      </c>
    </row>
    <row r="1838" spans="1:8" ht="27.6" x14ac:dyDescent="0.25">
      <c r="A1838" s="3" t="s">
        <v>1890</v>
      </c>
      <c r="B1838" s="3" t="s">
        <v>2308</v>
      </c>
      <c r="C1838" s="4" t="str">
        <f>HYPERLINK("http://www.rncp.cncp.gouv.fr/grand-public/visualisationFiche?format=fr&amp;fiche=4993","4993")</f>
        <v>4993</v>
      </c>
      <c r="D1838" s="4" t="str">
        <f>HYPERLINK("http://www.intercariforef.org/formations/certification-65377.html","65377")</f>
        <v>65377</v>
      </c>
      <c r="E1838" s="5">
        <v>155023</v>
      </c>
      <c r="F1838" s="5" t="s">
        <v>10</v>
      </c>
      <c r="G1838" s="5" t="s">
        <v>11</v>
      </c>
      <c r="H1838" s="3" t="s">
        <v>81</v>
      </c>
    </row>
    <row r="1839" spans="1:8" ht="27.6" x14ac:dyDescent="0.25">
      <c r="A1839" s="3" t="s">
        <v>1890</v>
      </c>
      <c r="B1839" s="3" t="s">
        <v>2309</v>
      </c>
      <c r="C1839" s="4" t="str">
        <f>HYPERLINK("http://www.rncp.cncp.gouv.fr/grand-public/visualisationFiche?format=fr&amp;fiche=5198","5198")</f>
        <v>5198</v>
      </c>
      <c r="D1839" s="4" t="str">
        <f>HYPERLINK("http://www.intercariforef.org/formations/certification-56140.html","56140")</f>
        <v>56140</v>
      </c>
      <c r="E1839" s="5">
        <v>144406</v>
      </c>
      <c r="F1839" s="5" t="s">
        <v>10</v>
      </c>
      <c r="G1839" s="5" t="s">
        <v>11</v>
      </c>
      <c r="H1839" s="3" t="s">
        <v>81</v>
      </c>
    </row>
    <row r="1840" spans="1:8" ht="27.6" x14ac:dyDescent="0.25">
      <c r="A1840" s="3" t="s">
        <v>1890</v>
      </c>
      <c r="B1840" s="3" t="s">
        <v>2310</v>
      </c>
      <c r="C1840" s="5"/>
      <c r="D1840" s="4" t="str">
        <f>HYPERLINK("http://www.intercariforef.org/formations/certification-80614.html","80614")</f>
        <v>80614</v>
      </c>
      <c r="E1840" s="5">
        <v>144411</v>
      </c>
      <c r="F1840" s="5" t="s">
        <v>10</v>
      </c>
      <c r="G1840" s="5" t="s">
        <v>11</v>
      </c>
      <c r="H1840" s="3" t="s">
        <v>81</v>
      </c>
    </row>
    <row r="1841" spans="1:8" ht="13.8" x14ac:dyDescent="0.25">
      <c r="A1841" s="3" t="s">
        <v>1890</v>
      </c>
      <c r="B1841" s="3" t="s">
        <v>2311</v>
      </c>
      <c r="C1841" s="4" t="str">
        <f>HYPERLINK("http://www.rncp.cncp.gouv.fr/grand-public/visualisationFiche?format=fr&amp;fiche=22928","22928")</f>
        <v>22928</v>
      </c>
      <c r="D1841" s="4" t="str">
        <f>HYPERLINK("http://www.intercariforef.org/formations/certification-60614.html","60614")</f>
        <v>60614</v>
      </c>
      <c r="E1841" s="5">
        <v>131030</v>
      </c>
      <c r="F1841" s="5" t="s">
        <v>10</v>
      </c>
      <c r="G1841" s="5" t="s">
        <v>11</v>
      </c>
      <c r="H1841" s="3" t="s">
        <v>1790</v>
      </c>
    </row>
    <row r="1842" spans="1:8" ht="13.8" x14ac:dyDescent="0.25">
      <c r="A1842" s="3" t="s">
        <v>1890</v>
      </c>
      <c r="B1842" s="3" t="s">
        <v>2312</v>
      </c>
      <c r="C1842" s="4" t="str">
        <f>HYPERLINK("http://www.rncp.cncp.gouv.fr/grand-public/visualisationFiche?format=fr&amp;fiche=16602","16602")</f>
        <v>16602</v>
      </c>
      <c r="D1842" s="4" t="str">
        <f>HYPERLINK("http://www.intercariforef.org/formations/certification-81099.html","81099")</f>
        <v>81099</v>
      </c>
      <c r="E1842" s="5">
        <v>2596</v>
      </c>
      <c r="F1842" s="5" t="s">
        <v>10</v>
      </c>
      <c r="G1842" s="5" t="s">
        <v>11</v>
      </c>
      <c r="H1842" s="3" t="s">
        <v>2313</v>
      </c>
    </row>
    <row r="1843" spans="1:8" ht="13.8" x14ac:dyDescent="0.25">
      <c r="A1843" s="3" t="s">
        <v>1890</v>
      </c>
      <c r="B1843" s="3" t="s">
        <v>2314</v>
      </c>
      <c r="C1843" s="4" t="str">
        <f>HYPERLINK("http://www.rncp.cncp.gouv.fr/grand-public/visualisationFiche?format=fr&amp;fiche=13710","13710")</f>
        <v>13710</v>
      </c>
      <c r="D1843" s="4" t="str">
        <f>HYPERLINK("http://www.intercariforef.org/formations/certification-77118.html","77118")</f>
        <v>77118</v>
      </c>
      <c r="E1843" s="5">
        <v>2597</v>
      </c>
      <c r="F1843" s="5" t="s">
        <v>10</v>
      </c>
      <c r="G1843" s="5" t="s">
        <v>11</v>
      </c>
      <c r="H1843" s="3" t="s">
        <v>1070</v>
      </c>
    </row>
    <row r="1844" spans="1:8" ht="13.8" x14ac:dyDescent="0.25">
      <c r="A1844" s="3" t="s">
        <v>1890</v>
      </c>
      <c r="B1844" s="3" t="s">
        <v>2315</v>
      </c>
      <c r="C1844" s="4" t="str">
        <f>HYPERLINK("http://www.rncp.cncp.gouv.fr/grand-public/visualisationFiche?format=fr&amp;fiche=4455","4455")</f>
        <v>4455</v>
      </c>
      <c r="D1844" s="4" t="str">
        <f>HYPERLINK("http://www.intercariforef.org/formations/certification-50853.html","50853")</f>
        <v>50853</v>
      </c>
      <c r="E1844" s="5">
        <v>2598</v>
      </c>
      <c r="F1844" s="5" t="s">
        <v>10</v>
      </c>
      <c r="G1844" s="5" t="s">
        <v>11</v>
      </c>
      <c r="H1844" s="3" t="s">
        <v>2316</v>
      </c>
    </row>
    <row r="1845" spans="1:8" ht="13.8" x14ac:dyDescent="0.25">
      <c r="A1845" s="3" t="s">
        <v>2317</v>
      </c>
      <c r="B1845" s="3" t="s">
        <v>2318</v>
      </c>
      <c r="C1845" s="4" t="str">
        <f>HYPERLINK("http://www.rncp.cncp.gouv.fr/grand-public/visualisationFiche?format=fr&amp;fiche=13678","13678")</f>
        <v>13678</v>
      </c>
      <c r="D1845" s="4" t="str">
        <f>HYPERLINK("http://www.intercariforef.org/formations/certification-53164.html","53164")</f>
        <v>53164</v>
      </c>
      <c r="E1845" s="5">
        <v>141264</v>
      </c>
      <c r="F1845" s="5" t="s">
        <v>10</v>
      </c>
      <c r="G1845" s="5" t="s">
        <v>11</v>
      </c>
      <c r="H1845" s="3" t="s">
        <v>2319</v>
      </c>
    </row>
    <row r="1846" spans="1:8" ht="27.6" x14ac:dyDescent="0.25">
      <c r="A1846" s="3" t="s">
        <v>2317</v>
      </c>
      <c r="B1846" s="3" t="s">
        <v>2320</v>
      </c>
      <c r="C1846" s="4" t="str">
        <f>HYPERLINK("http://www.rncp.cncp.gouv.fr/grand-public/visualisationFiche?format=fr&amp;fiche=15747","15747")</f>
        <v>15747</v>
      </c>
      <c r="D1846" s="4" t="str">
        <f>HYPERLINK("http://www.intercariforef.org/formations/certification-63987.html","63987")</f>
        <v>63987</v>
      </c>
      <c r="E1846" s="5">
        <v>140145</v>
      </c>
      <c r="F1846" s="5" t="s">
        <v>10</v>
      </c>
      <c r="G1846" s="5" t="s">
        <v>11</v>
      </c>
      <c r="H1846" s="3" t="s">
        <v>2321</v>
      </c>
    </row>
    <row r="1847" spans="1:8" ht="13.8" x14ac:dyDescent="0.25">
      <c r="A1847" s="3" t="s">
        <v>2317</v>
      </c>
      <c r="B1847" s="3" t="s">
        <v>2322</v>
      </c>
      <c r="C1847" s="4" t="str">
        <f>HYPERLINK("http://www.rncp.cncp.gouv.fr/grand-public/visualisationFiche?format=fr&amp;fiche=14972","14972")</f>
        <v>14972</v>
      </c>
      <c r="D1847" s="4" t="str">
        <f>HYPERLINK("http://www.intercariforef.org/formations/certification-30984.html","30984")</f>
        <v>30984</v>
      </c>
      <c r="E1847" s="5">
        <v>141265</v>
      </c>
      <c r="F1847" s="5" t="s">
        <v>10</v>
      </c>
      <c r="G1847" s="5" t="s">
        <v>11</v>
      </c>
      <c r="H1847" s="3" t="s">
        <v>2323</v>
      </c>
    </row>
    <row r="1848" spans="1:8" ht="13.8" x14ac:dyDescent="0.25">
      <c r="A1848" s="3" t="s">
        <v>2317</v>
      </c>
      <c r="B1848" s="3" t="s">
        <v>2324</v>
      </c>
      <c r="C1848" s="4" t="str">
        <f>HYPERLINK("http://www.rncp.cncp.gouv.fr/grand-public/visualisationFiche?format=fr&amp;fiche=14968","14968")</f>
        <v>14968</v>
      </c>
      <c r="D1848" s="4" t="str">
        <f>HYPERLINK("http://www.intercariforef.org/formations/certification-78856.html","78856")</f>
        <v>78856</v>
      </c>
      <c r="E1848" s="5">
        <v>141266</v>
      </c>
      <c r="F1848" s="5" t="s">
        <v>10</v>
      </c>
      <c r="G1848" s="5" t="s">
        <v>11</v>
      </c>
      <c r="H1848" s="3" t="s">
        <v>2325</v>
      </c>
    </row>
    <row r="1849" spans="1:8" ht="13.8" x14ac:dyDescent="0.25">
      <c r="A1849" s="3" t="s">
        <v>2317</v>
      </c>
      <c r="B1849" s="3" t="s">
        <v>2326</v>
      </c>
      <c r="C1849" s="4" t="str">
        <f>HYPERLINK("http://www.rncp.cncp.gouv.fr/grand-public/visualisationFiche?format=fr&amp;fiche=5480","5480")</f>
        <v>5480</v>
      </c>
      <c r="D1849" s="4" t="str">
        <f>HYPERLINK("http://www.intercariforef.org/formations/certification-55488.html","55488")</f>
        <v>55488</v>
      </c>
      <c r="E1849" s="5">
        <v>154444</v>
      </c>
      <c r="F1849" s="5" t="s">
        <v>10</v>
      </c>
      <c r="G1849" s="5" t="s">
        <v>11</v>
      </c>
      <c r="H1849" s="3" t="s">
        <v>2327</v>
      </c>
    </row>
    <row r="1850" spans="1:8" ht="27.6" x14ac:dyDescent="0.25">
      <c r="A1850" s="3" t="s">
        <v>2317</v>
      </c>
      <c r="B1850" s="3" t="s">
        <v>2328</v>
      </c>
      <c r="C1850" s="4" t="str">
        <f>HYPERLINK("http://www.rncp.cncp.gouv.fr/grand-public/visualisationFiche?format=fr&amp;fiche=15129","15129")</f>
        <v>15129</v>
      </c>
      <c r="D1850" s="4" t="str">
        <f>HYPERLINK("http://www.intercariforef.org/formations/certification-78890.html","78890")</f>
        <v>78890</v>
      </c>
      <c r="E1850" s="5">
        <v>141267</v>
      </c>
      <c r="F1850" s="5" t="s">
        <v>10</v>
      </c>
      <c r="G1850" s="5" t="s">
        <v>11</v>
      </c>
      <c r="H1850" s="3" t="s">
        <v>2329</v>
      </c>
    </row>
    <row r="1851" spans="1:8" ht="13.8" x14ac:dyDescent="0.25">
      <c r="A1851" s="3" t="s">
        <v>2317</v>
      </c>
      <c r="B1851" s="3" t="s">
        <v>2330</v>
      </c>
      <c r="C1851" s="4" t="str">
        <f>HYPERLINK("http://www.rncp.cncp.gouv.fr/grand-public/visualisationFiche?format=fr&amp;fiche=2516","2516")</f>
        <v>2516</v>
      </c>
      <c r="D1851" s="4" t="str">
        <f>HYPERLINK("http://www.intercariforef.org/formations/certification-30993.html","30993")</f>
        <v>30993</v>
      </c>
      <c r="E1851" s="5">
        <v>141269</v>
      </c>
      <c r="F1851" s="5" t="s">
        <v>10</v>
      </c>
      <c r="G1851" s="5" t="s">
        <v>11</v>
      </c>
      <c r="H1851" s="3" t="s">
        <v>2331</v>
      </c>
    </row>
    <row r="1852" spans="1:8" ht="13.8" x14ac:dyDescent="0.25">
      <c r="A1852" s="3" t="s">
        <v>2317</v>
      </c>
      <c r="B1852" s="3" t="s">
        <v>2332</v>
      </c>
      <c r="C1852" s="4" t="str">
        <f>HYPERLINK("http://www.rncp.cncp.gouv.fr/grand-public/visualisationFiche?format=fr&amp;fiche=9658","9658")</f>
        <v>9658</v>
      </c>
      <c r="D1852" s="4" t="str">
        <f>HYPERLINK("http://www.intercariforef.org/formations/certification-68514.html","68514")</f>
        <v>68514</v>
      </c>
      <c r="E1852" s="5">
        <v>2114</v>
      </c>
      <c r="F1852" s="5" t="s">
        <v>10</v>
      </c>
      <c r="G1852" s="5" t="s">
        <v>11</v>
      </c>
      <c r="H1852" s="3" t="s">
        <v>787</v>
      </c>
    </row>
    <row r="1853" spans="1:8" ht="27.6" x14ac:dyDescent="0.25">
      <c r="A1853" s="3" t="s">
        <v>2317</v>
      </c>
      <c r="B1853" s="3" t="s">
        <v>2333</v>
      </c>
      <c r="C1853" s="4" t="str">
        <f>HYPERLINK("http://www.rncp.cncp.gouv.fr/grand-public/visualisationFiche?format=fr&amp;fiche=6096","6096")</f>
        <v>6096</v>
      </c>
      <c r="D1853" s="4" t="str">
        <f>HYPERLINK("http://www.intercariforef.org/formations/certification-59627.html","59627")</f>
        <v>59627</v>
      </c>
      <c r="E1853" s="5">
        <v>2115</v>
      </c>
      <c r="F1853" s="5" t="s">
        <v>10</v>
      </c>
      <c r="G1853" s="5" t="s">
        <v>11</v>
      </c>
      <c r="H1853" s="3" t="s">
        <v>2334</v>
      </c>
    </row>
    <row r="1854" spans="1:8" ht="27.6" x14ac:dyDescent="0.25">
      <c r="A1854" s="3" t="s">
        <v>2317</v>
      </c>
      <c r="B1854" s="3" t="s">
        <v>2335</v>
      </c>
      <c r="C1854" s="4" t="str">
        <f>HYPERLINK("http://www.rncp.cncp.gouv.fr/grand-public/visualisationFiche?format=fr&amp;fiche=4445","4445")</f>
        <v>4445</v>
      </c>
      <c r="D1854" s="4" t="str">
        <f>HYPERLINK("http://www.intercariforef.org/formations/certification-47270.html","47270")</f>
        <v>47270</v>
      </c>
      <c r="E1854" s="5">
        <v>2120</v>
      </c>
      <c r="F1854" s="5" t="s">
        <v>10</v>
      </c>
      <c r="G1854" s="5" t="s">
        <v>11</v>
      </c>
      <c r="H1854" s="3" t="s">
        <v>2321</v>
      </c>
    </row>
    <row r="1855" spans="1:8" ht="13.8" x14ac:dyDescent="0.25">
      <c r="A1855" s="3" t="s">
        <v>2317</v>
      </c>
      <c r="B1855" s="3" t="s">
        <v>2336</v>
      </c>
      <c r="C1855" s="4" t="str">
        <f>HYPERLINK("http://www.rncp.cncp.gouv.fr/grand-public/visualisationFiche?format=fr&amp;fiche=5313","5313")</f>
        <v>5313</v>
      </c>
      <c r="D1855" s="4" t="str">
        <f>HYPERLINK("http://www.intercariforef.org/formations/certification-54308.html","54308")</f>
        <v>54308</v>
      </c>
      <c r="E1855" s="5">
        <v>130821</v>
      </c>
      <c r="F1855" s="5" t="s">
        <v>10</v>
      </c>
      <c r="G1855" s="5" t="s">
        <v>11</v>
      </c>
      <c r="H1855" s="3" t="s">
        <v>1797</v>
      </c>
    </row>
    <row r="1856" spans="1:8" ht="27.6" x14ac:dyDescent="0.25">
      <c r="A1856" s="3" t="s">
        <v>2317</v>
      </c>
      <c r="B1856" s="3" t="s">
        <v>2337</v>
      </c>
      <c r="C1856" s="4" t="str">
        <f>HYPERLINK("http://www.rncp.cncp.gouv.fr/grand-public/visualisationFiche?format=fr&amp;fiche=18063","18063")</f>
        <v>18063</v>
      </c>
      <c r="D1856" s="4" t="str">
        <f>HYPERLINK("http://www.intercariforef.org/formations/certification-61025.html","61025")</f>
        <v>61025</v>
      </c>
      <c r="E1856" s="5">
        <v>2121</v>
      </c>
      <c r="F1856" s="5" t="s">
        <v>10</v>
      </c>
      <c r="G1856" s="5" t="s">
        <v>11</v>
      </c>
      <c r="H1856" s="3" t="s">
        <v>1937</v>
      </c>
    </row>
    <row r="1857" spans="1:8" ht="27.6" x14ac:dyDescent="0.25">
      <c r="A1857" s="3" t="s">
        <v>2317</v>
      </c>
      <c r="B1857" s="3" t="s">
        <v>2338</v>
      </c>
      <c r="C1857" s="4" t="str">
        <f>HYPERLINK("http://www.rncp.cncp.gouv.fr/grand-public/visualisationFiche?format=fr&amp;fiche=14233","14233")</f>
        <v>14233</v>
      </c>
      <c r="D1857" s="4" t="str">
        <f>HYPERLINK("http://www.intercariforef.org/formations/certification-77542.html","77542")</f>
        <v>77542</v>
      </c>
      <c r="E1857" s="5">
        <v>2122</v>
      </c>
      <c r="F1857" s="5" t="s">
        <v>10</v>
      </c>
      <c r="G1857" s="5" t="s">
        <v>11</v>
      </c>
      <c r="H1857" s="3" t="s">
        <v>2339</v>
      </c>
    </row>
    <row r="1858" spans="1:8" ht="13.8" x14ac:dyDescent="0.25">
      <c r="A1858" s="3" t="s">
        <v>2317</v>
      </c>
      <c r="B1858" s="3" t="s">
        <v>2340</v>
      </c>
      <c r="C1858" s="4" t="str">
        <f>HYPERLINK("http://www.rncp.cncp.gouv.fr/grand-public/visualisationFiche?format=fr&amp;fiche=9638","9638")</f>
        <v>9638</v>
      </c>
      <c r="D1858" s="4" t="str">
        <f>HYPERLINK("http://www.intercariforef.org/formations/certification-69404.html","69404")</f>
        <v>69404</v>
      </c>
      <c r="E1858" s="5">
        <v>2127</v>
      </c>
      <c r="F1858" s="5" t="s">
        <v>10</v>
      </c>
      <c r="G1858" s="5" t="s">
        <v>11</v>
      </c>
      <c r="H1858" s="3" t="s">
        <v>81</v>
      </c>
    </row>
    <row r="1859" spans="1:8" ht="27.6" x14ac:dyDescent="0.25">
      <c r="A1859" s="3" t="s">
        <v>2317</v>
      </c>
      <c r="B1859" s="3" t="s">
        <v>2341</v>
      </c>
      <c r="C1859" s="4" t="str">
        <f>HYPERLINK("http://www.rncp.cncp.gouv.fr/grand-public/visualisationFiche?format=fr&amp;fiche=13869","13869")</f>
        <v>13869</v>
      </c>
      <c r="D1859" s="4" t="str">
        <f>HYPERLINK("http://www.intercariforef.org/formations/certification-70307.html","70307")</f>
        <v>70307</v>
      </c>
      <c r="E1859" s="5">
        <v>2128</v>
      </c>
      <c r="F1859" s="5" t="s">
        <v>10</v>
      </c>
      <c r="G1859" s="5" t="s">
        <v>11</v>
      </c>
      <c r="H1859" s="3" t="s">
        <v>2342</v>
      </c>
    </row>
    <row r="1860" spans="1:8" ht="13.8" x14ac:dyDescent="0.25">
      <c r="A1860" s="3" t="s">
        <v>2317</v>
      </c>
      <c r="B1860" s="3" t="s">
        <v>2343</v>
      </c>
      <c r="C1860" s="4" t="str">
        <f>HYPERLINK("http://www.rncp.cncp.gouv.fr/grand-public/visualisationFiche?format=fr&amp;fiche=13871","13871")</f>
        <v>13871</v>
      </c>
      <c r="D1860" s="4" t="str">
        <f>HYPERLINK("http://www.intercariforef.org/formations/certification-69538.html","69538")</f>
        <v>69538</v>
      </c>
      <c r="E1860" s="5">
        <v>2129</v>
      </c>
      <c r="F1860" s="5" t="s">
        <v>10</v>
      </c>
      <c r="G1860" s="5" t="s">
        <v>11</v>
      </c>
      <c r="H1860" s="3" t="s">
        <v>2026</v>
      </c>
    </row>
    <row r="1861" spans="1:8" ht="13.8" x14ac:dyDescent="0.25">
      <c r="A1861" s="3" t="s">
        <v>2317</v>
      </c>
      <c r="B1861" s="3" t="s">
        <v>2344</v>
      </c>
      <c r="C1861" s="4" t="str">
        <f>HYPERLINK("http://www.rncp.cncp.gouv.fr/grand-public/visualisationFiche?format=fr&amp;fiche=748","748")</f>
        <v>748</v>
      </c>
      <c r="D1861" s="4" t="str">
        <f>HYPERLINK("http://www.intercariforef.org/formations/certification-20164.html","20164")</f>
        <v>20164</v>
      </c>
      <c r="E1861" s="5">
        <v>19226</v>
      </c>
      <c r="F1861" s="5" t="s">
        <v>10</v>
      </c>
      <c r="G1861" s="5" t="s">
        <v>11</v>
      </c>
      <c r="H1861" s="3" t="s">
        <v>81</v>
      </c>
    </row>
    <row r="1862" spans="1:8" ht="13.8" x14ac:dyDescent="0.25">
      <c r="A1862" s="3" t="s">
        <v>2317</v>
      </c>
      <c r="B1862" s="3" t="s">
        <v>2345</v>
      </c>
      <c r="C1862" s="4" t="str">
        <f>HYPERLINK("http://www.rncp.cncp.gouv.fr/grand-public/visualisationFiche?format=fr&amp;fiche=12113","12113")</f>
        <v>12113</v>
      </c>
      <c r="D1862" s="4" t="str">
        <f>HYPERLINK("http://www.intercariforef.org/formations/certification-74771.html","74771")</f>
        <v>74771</v>
      </c>
      <c r="E1862" s="5">
        <v>16229</v>
      </c>
      <c r="F1862" s="5" t="s">
        <v>10</v>
      </c>
      <c r="G1862" s="5" t="s">
        <v>11</v>
      </c>
      <c r="H1862" s="3" t="s">
        <v>81</v>
      </c>
    </row>
    <row r="1863" spans="1:8" ht="13.8" x14ac:dyDescent="0.25">
      <c r="A1863" s="3" t="s">
        <v>2317</v>
      </c>
      <c r="B1863" s="3" t="s">
        <v>2346</v>
      </c>
      <c r="C1863" s="4" t="str">
        <f>HYPERLINK("http://www.rncp.cncp.gouv.fr/grand-public/visualisationFiche?format=fr&amp;fiche=4648","4648")</f>
        <v>4648</v>
      </c>
      <c r="D1863" s="4" t="str">
        <f>HYPERLINK("http://www.intercariforef.org/formations/certification-53408.html","53408")</f>
        <v>53408</v>
      </c>
      <c r="E1863" s="5">
        <v>16228</v>
      </c>
      <c r="F1863" s="5" t="s">
        <v>10</v>
      </c>
      <c r="G1863" s="5" t="s">
        <v>11</v>
      </c>
      <c r="H1863" s="3" t="s">
        <v>81</v>
      </c>
    </row>
    <row r="1864" spans="1:8" ht="13.8" x14ac:dyDescent="0.25">
      <c r="A1864" s="3" t="s">
        <v>2317</v>
      </c>
      <c r="B1864" s="3" t="s">
        <v>2347</v>
      </c>
      <c r="C1864" s="4" t="str">
        <f>HYPERLINK("http://www.rncp.cncp.gouv.fr/grand-public/visualisationFiche?format=fr&amp;fiche=7586","7586")</f>
        <v>7586</v>
      </c>
      <c r="D1864" s="4" t="str">
        <f>HYPERLINK("http://www.intercariforef.org/formations/certification-64224.html","64224")</f>
        <v>64224</v>
      </c>
      <c r="E1864" s="5">
        <v>142239</v>
      </c>
      <c r="F1864" s="5" t="s">
        <v>10</v>
      </c>
      <c r="G1864" s="5" t="s">
        <v>11</v>
      </c>
      <c r="H1864" s="3" t="s">
        <v>81</v>
      </c>
    </row>
    <row r="1865" spans="1:8" ht="13.8" x14ac:dyDescent="0.25">
      <c r="A1865" s="3" t="s">
        <v>2317</v>
      </c>
      <c r="B1865" s="3" t="s">
        <v>2348</v>
      </c>
      <c r="C1865" s="4" t="str">
        <f>HYPERLINK("http://www.rncp.cncp.gouv.fr/grand-public/visualisationFiche?format=fr&amp;fiche=7067","7067")</f>
        <v>7067</v>
      </c>
      <c r="D1865" s="4" t="str">
        <f>HYPERLINK("http://www.intercariforef.org/formations/certification-62810.html","62810")</f>
        <v>62810</v>
      </c>
      <c r="E1865" s="5">
        <v>2130</v>
      </c>
      <c r="F1865" s="5" t="s">
        <v>10</v>
      </c>
      <c r="G1865" s="5" t="s">
        <v>11</v>
      </c>
      <c r="H1865" s="3" t="s">
        <v>81</v>
      </c>
    </row>
    <row r="1866" spans="1:8" ht="13.8" x14ac:dyDescent="0.25">
      <c r="A1866" s="3" t="s">
        <v>2317</v>
      </c>
      <c r="B1866" s="3" t="s">
        <v>2349</v>
      </c>
      <c r="C1866" s="4" t="str">
        <f>HYPERLINK("http://www.rncp.cncp.gouv.fr/grand-public/visualisationFiche?format=fr&amp;fiche=7068","7068")</f>
        <v>7068</v>
      </c>
      <c r="D1866" s="4" t="str">
        <f>HYPERLINK("http://www.intercariforef.org/formations/certification-62812.html","62812")</f>
        <v>62812</v>
      </c>
      <c r="E1866" s="5">
        <v>2131</v>
      </c>
      <c r="F1866" s="5" t="s">
        <v>10</v>
      </c>
      <c r="G1866" s="5" t="s">
        <v>11</v>
      </c>
      <c r="H1866" s="3" t="s">
        <v>81</v>
      </c>
    </row>
    <row r="1867" spans="1:8" ht="13.8" x14ac:dyDescent="0.25">
      <c r="A1867" s="3" t="s">
        <v>2317</v>
      </c>
      <c r="B1867" s="3" t="s">
        <v>2350</v>
      </c>
      <c r="C1867" s="4" t="str">
        <f>HYPERLINK("http://www.rncp.cncp.gouv.fr/grand-public/visualisationFiche?format=fr&amp;fiche=759","759")</f>
        <v>759</v>
      </c>
      <c r="D1867" s="4" t="str">
        <f>HYPERLINK("http://www.intercariforef.org/formations/certification-20182.html","20182")</f>
        <v>20182</v>
      </c>
      <c r="E1867" s="5">
        <v>2133</v>
      </c>
      <c r="F1867" s="5" t="s">
        <v>10</v>
      </c>
      <c r="G1867" s="5" t="s">
        <v>11</v>
      </c>
      <c r="H1867" s="3" t="s">
        <v>81</v>
      </c>
    </row>
    <row r="1868" spans="1:8" ht="13.8" x14ac:dyDescent="0.25">
      <c r="A1868" s="3" t="s">
        <v>2317</v>
      </c>
      <c r="B1868" s="3" t="s">
        <v>2351</v>
      </c>
      <c r="C1868" s="4" t="str">
        <f>HYPERLINK("http://www.rncp.cncp.gouv.fr/grand-public/visualisationFiche?format=fr&amp;fiche=12802","12802")</f>
        <v>12802</v>
      </c>
      <c r="D1868" s="4" t="str">
        <f>HYPERLINK("http://www.intercariforef.org/formations/certification-75138.html","75138")</f>
        <v>75138</v>
      </c>
      <c r="E1868" s="5">
        <v>142240</v>
      </c>
      <c r="F1868" s="5" t="s">
        <v>10</v>
      </c>
      <c r="G1868" s="5" t="s">
        <v>11</v>
      </c>
      <c r="H1868" s="3" t="s">
        <v>81</v>
      </c>
    </row>
    <row r="1869" spans="1:8" ht="13.8" x14ac:dyDescent="0.25">
      <c r="A1869" s="3" t="s">
        <v>2317</v>
      </c>
      <c r="B1869" s="3" t="s">
        <v>2352</v>
      </c>
      <c r="C1869" s="4" t="str">
        <f>HYPERLINK("http://www.rncp.cncp.gouv.fr/grand-public/visualisationFiche?format=fr&amp;fiche=16770","16770")</f>
        <v>16770</v>
      </c>
      <c r="D1869" s="4" t="str">
        <f>HYPERLINK("http://www.intercariforef.org/formations/certification-69405.html","69405")</f>
        <v>69405</v>
      </c>
      <c r="E1869" s="5">
        <v>2123</v>
      </c>
      <c r="F1869" s="5" t="s">
        <v>10</v>
      </c>
      <c r="G1869" s="5" t="s">
        <v>11</v>
      </c>
      <c r="H1869" s="3" t="s">
        <v>81</v>
      </c>
    </row>
    <row r="1870" spans="1:8" ht="27.6" x14ac:dyDescent="0.25">
      <c r="A1870" s="3" t="s">
        <v>2317</v>
      </c>
      <c r="B1870" s="3" t="s">
        <v>2353</v>
      </c>
      <c r="C1870" s="4" t="str">
        <f>HYPERLINK("http://www.rncp.cncp.gouv.fr/grand-public/visualisationFiche?format=fr&amp;fiche=11475","11475")</f>
        <v>11475</v>
      </c>
      <c r="D1870" s="4" t="str">
        <f>HYPERLINK("http://www.intercariforef.org/formations/certification-69540.html","69540")</f>
        <v>69540</v>
      </c>
      <c r="E1870" s="5">
        <v>2136</v>
      </c>
      <c r="F1870" s="5" t="s">
        <v>10</v>
      </c>
      <c r="G1870" s="5" t="s">
        <v>11</v>
      </c>
      <c r="H1870" s="3" t="s">
        <v>2026</v>
      </c>
    </row>
    <row r="1871" spans="1:8" ht="27.6" x14ac:dyDescent="0.25">
      <c r="A1871" s="3" t="s">
        <v>2317</v>
      </c>
      <c r="B1871" s="3" t="s">
        <v>2354</v>
      </c>
      <c r="C1871" s="4" t="str">
        <f>HYPERLINK("http://www.rncp.cncp.gouv.fr/grand-public/visualisationFiche?format=fr&amp;fiche=11475","11475")</f>
        <v>11475</v>
      </c>
      <c r="D1871" s="4" t="str">
        <f>HYPERLINK("http://www.intercariforef.org/formations/certification-69541.html","69541")</f>
        <v>69541</v>
      </c>
      <c r="E1871" s="5">
        <v>2138</v>
      </c>
      <c r="F1871" s="5" t="s">
        <v>10</v>
      </c>
      <c r="G1871" s="5" t="s">
        <v>11</v>
      </c>
      <c r="H1871" s="3" t="s">
        <v>81</v>
      </c>
    </row>
    <row r="1872" spans="1:8" ht="13.8" x14ac:dyDescent="0.25">
      <c r="A1872" s="3" t="s">
        <v>2317</v>
      </c>
      <c r="B1872" s="3" t="s">
        <v>2355</v>
      </c>
      <c r="C1872" s="4" t="str">
        <f>HYPERLINK("http://www.rncp.cncp.gouv.fr/grand-public/visualisationFiche?format=fr&amp;fiche=1917","1917")</f>
        <v>1917</v>
      </c>
      <c r="D1872" s="4" t="str">
        <f>HYPERLINK("http://www.intercariforef.org/formations/certification-69543.html","69543")</f>
        <v>69543</v>
      </c>
      <c r="E1872" s="5">
        <v>2135</v>
      </c>
      <c r="F1872" s="5" t="s">
        <v>10</v>
      </c>
      <c r="G1872" s="5" t="s">
        <v>11</v>
      </c>
      <c r="H1872" s="3" t="s">
        <v>2026</v>
      </c>
    </row>
    <row r="1873" spans="1:8" ht="27.6" x14ac:dyDescent="0.25">
      <c r="A1873" s="3" t="s">
        <v>2317</v>
      </c>
      <c r="B1873" s="3" t="s">
        <v>2356</v>
      </c>
      <c r="C1873" s="4" t="str">
        <f>HYPERLINK("http://www.rncp.cncp.gouv.fr/grand-public/visualisationFiche?format=fr&amp;fiche=2841","2841")</f>
        <v>2841</v>
      </c>
      <c r="D1873" s="4" t="str">
        <f>HYPERLINK("http://www.intercariforef.org/formations/certification-78077.html","78077")</f>
        <v>78077</v>
      </c>
      <c r="E1873" s="5">
        <v>2141</v>
      </c>
      <c r="F1873" s="5" t="s">
        <v>10</v>
      </c>
      <c r="G1873" s="5" t="s">
        <v>11</v>
      </c>
      <c r="H1873" s="3" t="s">
        <v>2357</v>
      </c>
    </row>
    <row r="1874" spans="1:8" ht="27.6" x14ac:dyDescent="0.25">
      <c r="A1874" s="3" t="s">
        <v>2317</v>
      </c>
      <c r="B1874" s="3" t="s">
        <v>2358</v>
      </c>
      <c r="C1874" s="4" t="str">
        <f>HYPERLINK("http://www.rncp.cncp.gouv.fr/grand-public/visualisationFiche?format=fr&amp;fiche=2841","2841")</f>
        <v>2841</v>
      </c>
      <c r="D1874" s="4" t="str">
        <f>HYPERLINK("http://www.intercariforef.org/formations/certification-78076.html","78076")</f>
        <v>78076</v>
      </c>
      <c r="E1874" s="5">
        <v>2140</v>
      </c>
      <c r="F1874" s="5" t="s">
        <v>10</v>
      </c>
      <c r="G1874" s="5" t="s">
        <v>11</v>
      </c>
      <c r="H1874" s="3" t="s">
        <v>2357</v>
      </c>
    </row>
    <row r="1875" spans="1:8" ht="27.6" x14ac:dyDescent="0.25">
      <c r="A1875" s="3" t="s">
        <v>2317</v>
      </c>
      <c r="B1875" s="3" t="s">
        <v>2359</v>
      </c>
      <c r="C1875" s="4" t="str">
        <f>HYPERLINK("http://www.rncp.cncp.gouv.fr/grand-public/visualisationFiche?format=fr&amp;fiche=2841","2841")</f>
        <v>2841</v>
      </c>
      <c r="D1875" s="4" t="str">
        <f>HYPERLINK("http://www.intercariforef.org/formations/certification-78078.html","78078")</f>
        <v>78078</v>
      </c>
      <c r="E1875" s="5">
        <v>2142</v>
      </c>
      <c r="F1875" s="5" t="s">
        <v>10</v>
      </c>
      <c r="G1875" s="5" t="s">
        <v>11</v>
      </c>
      <c r="H1875" s="3" t="s">
        <v>2357</v>
      </c>
    </row>
    <row r="1876" spans="1:8" ht="13.8" x14ac:dyDescent="0.25">
      <c r="A1876" s="3" t="s">
        <v>2317</v>
      </c>
      <c r="B1876" s="3" t="s">
        <v>2360</v>
      </c>
      <c r="C1876" s="4" t="str">
        <f>HYPERLINK("http://www.rncp.cncp.gouv.fr/grand-public/visualisationFiche?format=fr&amp;fiche=14039","14039")</f>
        <v>14039</v>
      </c>
      <c r="D1876" s="4" t="str">
        <f>HYPERLINK("http://www.intercariforef.org/formations/certification-75947.html","75947")</f>
        <v>75947</v>
      </c>
      <c r="E1876" s="5">
        <v>142241</v>
      </c>
      <c r="F1876" s="5" t="s">
        <v>10</v>
      </c>
      <c r="G1876" s="5" t="s">
        <v>11</v>
      </c>
      <c r="H1876" s="3" t="s">
        <v>2026</v>
      </c>
    </row>
    <row r="1877" spans="1:8" ht="13.8" x14ac:dyDescent="0.25">
      <c r="A1877" s="3" t="s">
        <v>2317</v>
      </c>
      <c r="B1877" s="3" t="s">
        <v>2361</v>
      </c>
      <c r="C1877" s="4" t="str">
        <f>HYPERLINK("http://www.rncp.cncp.gouv.fr/grand-public/visualisationFiche?format=fr&amp;fiche=12508","12508")</f>
        <v>12508</v>
      </c>
      <c r="D1877" s="4" t="str">
        <f>HYPERLINK("http://www.intercariforef.org/formations/certification-75137.html","75137")</f>
        <v>75137</v>
      </c>
      <c r="E1877" s="5">
        <v>142242</v>
      </c>
      <c r="F1877" s="5" t="s">
        <v>10</v>
      </c>
      <c r="G1877" s="5" t="s">
        <v>11</v>
      </c>
      <c r="H1877" s="3" t="s">
        <v>81</v>
      </c>
    </row>
    <row r="1878" spans="1:8" ht="27.6" x14ac:dyDescent="0.25">
      <c r="A1878" s="3" t="s">
        <v>2317</v>
      </c>
      <c r="B1878" s="3" t="s">
        <v>2362</v>
      </c>
      <c r="C1878" s="4" t="str">
        <f>HYPERLINK("http://www.rncp.cncp.gouv.fr/grand-public/visualisationFiche?format=fr&amp;fiche=2840","2840")</f>
        <v>2840</v>
      </c>
      <c r="D1878" s="4" t="str">
        <f>HYPERLINK("http://www.intercariforef.org/formations/certification-46700.html","46700")</f>
        <v>46700</v>
      </c>
      <c r="E1878" s="5">
        <v>16351</v>
      </c>
      <c r="F1878" s="5" t="s">
        <v>10</v>
      </c>
      <c r="G1878" s="5" t="s">
        <v>11</v>
      </c>
      <c r="H1878" s="3" t="s">
        <v>2357</v>
      </c>
    </row>
    <row r="1879" spans="1:8" ht="13.8" x14ac:dyDescent="0.25">
      <c r="A1879" s="3" t="s">
        <v>2317</v>
      </c>
      <c r="B1879" s="3" t="s">
        <v>2363</v>
      </c>
      <c r="C1879" s="4" t="str">
        <f>HYPERLINK("http://www.rncp.cncp.gouv.fr/grand-public/visualisationFiche?format=fr&amp;fiche=427","427")</f>
        <v>427</v>
      </c>
      <c r="D1879" s="4" t="str">
        <f>HYPERLINK("http://www.intercariforef.org/formations/certification-56296.html","56296")</f>
        <v>56296</v>
      </c>
      <c r="E1879" s="5">
        <v>16342</v>
      </c>
      <c r="F1879" s="5" t="s">
        <v>10</v>
      </c>
      <c r="G1879" s="5" t="s">
        <v>11</v>
      </c>
      <c r="H1879" s="3" t="s">
        <v>81</v>
      </c>
    </row>
    <row r="1880" spans="1:8" ht="13.8" x14ac:dyDescent="0.25">
      <c r="A1880" s="3" t="s">
        <v>2317</v>
      </c>
      <c r="B1880" s="3" t="s">
        <v>2364</v>
      </c>
      <c r="C1880" s="4" t="str">
        <f>HYPERLINK("http://www.rncp.cncp.gouv.fr/grand-public/visualisationFiche?format=fr&amp;fiche=427","427")</f>
        <v>427</v>
      </c>
      <c r="D1880" s="4" t="str">
        <f>HYPERLINK("http://www.intercariforef.org/formations/certification-56297.html","56297")</f>
        <v>56297</v>
      </c>
      <c r="E1880" s="5">
        <v>16343</v>
      </c>
      <c r="F1880" s="5" t="s">
        <v>10</v>
      </c>
      <c r="G1880" s="5" t="s">
        <v>11</v>
      </c>
      <c r="H1880" s="3" t="s">
        <v>81</v>
      </c>
    </row>
    <row r="1881" spans="1:8" ht="13.8" x14ac:dyDescent="0.25">
      <c r="A1881" s="3" t="s">
        <v>2317</v>
      </c>
      <c r="B1881" s="3" t="s">
        <v>2365</v>
      </c>
      <c r="C1881" s="4" t="str">
        <f>HYPERLINK("http://www.rncp.cncp.gouv.fr/grand-public/visualisationFiche?format=fr&amp;fiche=3110","3110")</f>
        <v>3110</v>
      </c>
      <c r="D1881" s="4" t="str">
        <f>HYPERLINK("http://www.intercariforef.org/formations/certification-20203.html","20203")</f>
        <v>20203</v>
      </c>
      <c r="E1881" s="5">
        <v>154459</v>
      </c>
      <c r="F1881" s="5" t="s">
        <v>10</v>
      </c>
      <c r="G1881" s="5" t="s">
        <v>11</v>
      </c>
      <c r="H1881" s="3" t="s">
        <v>81</v>
      </c>
    </row>
    <row r="1882" spans="1:8" ht="13.8" x14ac:dyDescent="0.25">
      <c r="A1882" s="3" t="s">
        <v>2317</v>
      </c>
      <c r="B1882" s="3" t="s">
        <v>2366</v>
      </c>
      <c r="C1882" s="4" t="str">
        <f>HYPERLINK("http://www.rncp.cncp.gouv.fr/grand-public/visualisationFiche?format=fr&amp;fiche=13872","13872")</f>
        <v>13872</v>
      </c>
      <c r="D1882" s="4" t="str">
        <f>HYPERLINK("http://www.intercariforef.org/formations/certification-75946.html","75946")</f>
        <v>75946</v>
      </c>
      <c r="E1882" s="5">
        <v>142243</v>
      </c>
      <c r="F1882" s="5" t="s">
        <v>10</v>
      </c>
      <c r="G1882" s="5" t="s">
        <v>11</v>
      </c>
      <c r="H1882" s="3" t="s">
        <v>2026</v>
      </c>
    </row>
    <row r="1883" spans="1:8" ht="13.8" x14ac:dyDescent="0.25">
      <c r="A1883" s="3" t="s">
        <v>2317</v>
      </c>
      <c r="B1883" s="3" t="s">
        <v>2367</v>
      </c>
      <c r="C1883" s="4" t="str">
        <f>HYPERLINK("http://www.rncp.cncp.gouv.fr/grand-public/visualisationFiche?format=fr&amp;fiche=13873","13873")</f>
        <v>13873</v>
      </c>
      <c r="D1883" s="4" t="str">
        <f>HYPERLINK("http://www.intercariforef.org/formations/certification-69545.html","69545")</f>
        <v>69545</v>
      </c>
      <c r="E1883" s="5">
        <v>142244</v>
      </c>
      <c r="F1883" s="5" t="s">
        <v>10</v>
      </c>
      <c r="G1883" s="5" t="s">
        <v>11</v>
      </c>
      <c r="H1883" s="3" t="s">
        <v>2026</v>
      </c>
    </row>
    <row r="1884" spans="1:8" ht="13.8" x14ac:dyDescent="0.25">
      <c r="A1884" s="3" t="s">
        <v>2317</v>
      </c>
      <c r="B1884" s="3" t="s">
        <v>2368</v>
      </c>
      <c r="C1884" s="4" t="str">
        <f>HYPERLINK("http://www.rncp.cncp.gouv.fr/grand-public/visualisationFiche?format=fr&amp;fiche=14899","14899")</f>
        <v>14899</v>
      </c>
      <c r="D1884" s="4" t="str">
        <f>HYPERLINK("http://www.intercariforef.org/formations/certification-78842.html","78842")</f>
        <v>78842</v>
      </c>
      <c r="E1884" s="5">
        <v>2145</v>
      </c>
      <c r="F1884" s="5" t="s">
        <v>10</v>
      </c>
      <c r="G1884" s="5" t="s">
        <v>11</v>
      </c>
      <c r="H1884" s="3" t="s">
        <v>81</v>
      </c>
    </row>
    <row r="1885" spans="1:8" ht="13.8" x14ac:dyDescent="0.25">
      <c r="A1885" s="3" t="s">
        <v>2317</v>
      </c>
      <c r="B1885" s="3" t="s">
        <v>2369</v>
      </c>
      <c r="C1885" s="4" t="str">
        <f>HYPERLINK("http://www.rncp.cncp.gouv.fr/grand-public/visualisationFiche?format=fr&amp;fiche=14695","14695")</f>
        <v>14695</v>
      </c>
      <c r="D1885" s="4" t="str">
        <f>HYPERLINK("http://www.intercariforef.org/formations/certification-76930.html","76930")</f>
        <v>76930</v>
      </c>
      <c r="E1885" s="5">
        <v>2134</v>
      </c>
      <c r="F1885" s="5" t="s">
        <v>10</v>
      </c>
      <c r="G1885" s="5" t="s">
        <v>11</v>
      </c>
      <c r="H1885" s="3" t="s">
        <v>81</v>
      </c>
    </row>
    <row r="1886" spans="1:8" ht="13.8" x14ac:dyDescent="0.25">
      <c r="A1886" s="3" t="s">
        <v>2317</v>
      </c>
      <c r="B1886" s="3" t="s">
        <v>2370</v>
      </c>
      <c r="C1886" s="4" t="str">
        <f>HYPERLINK("http://www.rncp.cncp.gouv.fr/grand-public/visualisationFiche?format=fr&amp;fiche=14893","14893")</f>
        <v>14893</v>
      </c>
      <c r="D1886" s="4" t="str">
        <f>HYPERLINK("http://www.intercariforef.org/formations/certification-78841.html","78841")</f>
        <v>78841</v>
      </c>
      <c r="E1886" s="5">
        <v>142253</v>
      </c>
      <c r="F1886" s="5" t="s">
        <v>10</v>
      </c>
      <c r="G1886" s="5" t="s">
        <v>11</v>
      </c>
      <c r="H1886" s="3" t="s">
        <v>81</v>
      </c>
    </row>
    <row r="1887" spans="1:8" ht="13.8" x14ac:dyDescent="0.25">
      <c r="A1887" s="3" t="s">
        <v>2317</v>
      </c>
      <c r="B1887" s="3" t="s">
        <v>2371</v>
      </c>
      <c r="C1887" s="4" t="str">
        <f>HYPERLINK("http://www.rncp.cncp.gouv.fr/grand-public/visualisationFiche?format=fr&amp;fiche=768","768")</f>
        <v>768</v>
      </c>
      <c r="D1887" s="4" t="str">
        <f>HYPERLINK("http://www.intercariforef.org/formations/certification-20213.html","20213")</f>
        <v>20213</v>
      </c>
      <c r="E1887" s="5">
        <v>142245</v>
      </c>
      <c r="F1887" s="5" t="s">
        <v>10</v>
      </c>
      <c r="G1887" s="5" t="s">
        <v>11</v>
      </c>
      <c r="H1887" s="3" t="s">
        <v>81</v>
      </c>
    </row>
    <row r="1888" spans="1:8" ht="13.8" x14ac:dyDescent="0.25">
      <c r="A1888" s="3" t="s">
        <v>2317</v>
      </c>
      <c r="B1888" s="3" t="s">
        <v>2372</v>
      </c>
      <c r="C1888" s="4" t="str">
        <f>HYPERLINK("http://www.rncp.cncp.gouv.fr/grand-public/visualisationFiche?format=fr&amp;fiche=13874","13874")</f>
        <v>13874</v>
      </c>
      <c r="D1888" s="4" t="str">
        <f>HYPERLINK("http://www.intercariforef.org/formations/certification-69544.html","69544")</f>
        <v>69544</v>
      </c>
      <c r="E1888" s="5">
        <v>142247</v>
      </c>
      <c r="F1888" s="5" t="s">
        <v>10</v>
      </c>
      <c r="G1888" s="5" t="s">
        <v>11</v>
      </c>
      <c r="H1888" s="3" t="s">
        <v>2026</v>
      </c>
    </row>
    <row r="1889" spans="1:8" ht="13.8" x14ac:dyDescent="0.25">
      <c r="A1889" s="3" t="s">
        <v>2317</v>
      </c>
      <c r="B1889" s="3" t="s">
        <v>2373</v>
      </c>
      <c r="C1889" s="4" t="str">
        <f>HYPERLINK("http://www.rncp.cncp.gouv.fr/grand-public/visualisationFiche?format=fr&amp;fiche=1120","1120")</f>
        <v>1120</v>
      </c>
      <c r="D1889" s="4" t="str">
        <f>HYPERLINK("http://www.intercariforef.org/formations/certification-69402.html","69402")</f>
        <v>69402</v>
      </c>
      <c r="E1889" s="5">
        <v>2146</v>
      </c>
      <c r="F1889" s="5" t="s">
        <v>10</v>
      </c>
      <c r="G1889" s="5" t="s">
        <v>11</v>
      </c>
      <c r="H1889" s="3" t="s">
        <v>81</v>
      </c>
    </row>
    <row r="1890" spans="1:8" ht="13.8" x14ac:dyDescent="0.25">
      <c r="A1890" s="3" t="s">
        <v>2317</v>
      </c>
      <c r="B1890" s="3" t="s">
        <v>2374</v>
      </c>
      <c r="C1890" s="4" t="str">
        <f>HYPERLINK("http://www.rncp.cncp.gouv.fr/grand-public/visualisationFiche?format=fr&amp;fiche=669","669")</f>
        <v>669</v>
      </c>
      <c r="D1890" s="4" t="str">
        <f>HYPERLINK("http://www.intercariforef.org/formations/certification-20229.html","20229")</f>
        <v>20229</v>
      </c>
      <c r="E1890" s="5">
        <v>154454</v>
      </c>
      <c r="F1890" s="5" t="s">
        <v>10</v>
      </c>
      <c r="G1890" s="5" t="s">
        <v>11</v>
      </c>
      <c r="H1890" s="3" t="s">
        <v>81</v>
      </c>
    </row>
    <row r="1891" spans="1:8" ht="13.8" x14ac:dyDescent="0.25">
      <c r="A1891" s="3" t="s">
        <v>2317</v>
      </c>
      <c r="B1891" s="3" t="s">
        <v>2375</v>
      </c>
      <c r="C1891" s="4" t="str">
        <f>HYPERLINK("http://www.rncp.cncp.gouv.fr/grand-public/visualisationFiche?format=fr&amp;fiche=3632","3632")</f>
        <v>3632</v>
      </c>
      <c r="D1891" s="4" t="str">
        <f>HYPERLINK("http://www.intercariforef.org/formations/certification-31991.html","31991")</f>
        <v>31991</v>
      </c>
      <c r="E1891" s="5">
        <v>142248</v>
      </c>
      <c r="F1891" s="5" t="s">
        <v>10</v>
      </c>
      <c r="G1891" s="5" t="s">
        <v>11</v>
      </c>
      <c r="H1891" s="3" t="s">
        <v>81</v>
      </c>
    </row>
    <row r="1892" spans="1:8" ht="13.8" x14ac:dyDescent="0.25">
      <c r="A1892" s="3" t="s">
        <v>2317</v>
      </c>
      <c r="B1892" s="3" t="s">
        <v>2376</v>
      </c>
      <c r="C1892" s="4" t="str">
        <f>HYPERLINK("http://www.rncp.cncp.gouv.fr/grand-public/visualisationFiche?format=fr&amp;fiche=856","856")</f>
        <v>856</v>
      </c>
      <c r="D1892" s="4" t="str">
        <f>HYPERLINK("http://www.intercariforef.org/formations/certification-20232.html","20232")</f>
        <v>20232</v>
      </c>
      <c r="E1892" s="5">
        <v>133967</v>
      </c>
      <c r="F1892" s="5" t="s">
        <v>10</v>
      </c>
      <c r="G1892" s="5" t="s">
        <v>11</v>
      </c>
      <c r="H1892" s="3" t="s">
        <v>81</v>
      </c>
    </row>
    <row r="1893" spans="1:8" ht="13.8" x14ac:dyDescent="0.25">
      <c r="A1893" s="3" t="s">
        <v>2317</v>
      </c>
      <c r="B1893" s="3" t="s">
        <v>2377</v>
      </c>
      <c r="C1893" s="4" t="str">
        <f>HYPERLINK("http://www.rncp.cncp.gouv.fr/grand-public/visualisationFiche?format=fr&amp;fiche=857","857")</f>
        <v>857</v>
      </c>
      <c r="D1893" s="4" t="str">
        <f>HYPERLINK("http://www.intercariforef.org/formations/certification-20233.html","20233")</f>
        <v>20233</v>
      </c>
      <c r="E1893" s="5">
        <v>133966</v>
      </c>
      <c r="F1893" s="5" t="s">
        <v>10</v>
      </c>
      <c r="G1893" s="5" t="s">
        <v>11</v>
      </c>
      <c r="H1893" s="3" t="s">
        <v>81</v>
      </c>
    </row>
    <row r="1894" spans="1:8" ht="13.8" x14ac:dyDescent="0.25">
      <c r="A1894" s="3" t="s">
        <v>2317</v>
      </c>
      <c r="B1894" s="3" t="s">
        <v>2378</v>
      </c>
      <c r="C1894" s="4" t="str">
        <f>HYPERLINK("http://www.rncp.cncp.gouv.fr/grand-public/visualisationFiche?format=fr&amp;fiche=858","858")</f>
        <v>858</v>
      </c>
      <c r="D1894" s="4" t="str">
        <f>HYPERLINK("http://www.intercariforef.org/formations/certification-20234.html","20234")</f>
        <v>20234</v>
      </c>
      <c r="E1894" s="5">
        <v>133968</v>
      </c>
      <c r="F1894" s="5" t="s">
        <v>10</v>
      </c>
      <c r="G1894" s="5" t="s">
        <v>11</v>
      </c>
      <c r="H1894" s="3" t="s">
        <v>81</v>
      </c>
    </row>
    <row r="1895" spans="1:8" ht="13.8" x14ac:dyDescent="0.25">
      <c r="A1895" s="3" t="s">
        <v>2317</v>
      </c>
      <c r="B1895" s="3" t="s">
        <v>2379</v>
      </c>
      <c r="C1895" s="5"/>
      <c r="D1895" s="4" t="str">
        <f>HYPERLINK("http://www.intercariforef.org/formations/certification-63408.html","63408")</f>
        <v>63408</v>
      </c>
      <c r="E1895" s="5">
        <v>131925</v>
      </c>
      <c r="F1895" s="5" t="s">
        <v>10</v>
      </c>
      <c r="G1895" s="5" t="s">
        <v>11</v>
      </c>
      <c r="H1895" s="3" t="s">
        <v>81</v>
      </c>
    </row>
    <row r="1896" spans="1:8" ht="13.8" x14ac:dyDescent="0.25">
      <c r="A1896" s="3" t="s">
        <v>2317</v>
      </c>
      <c r="B1896" s="3" t="s">
        <v>2380</v>
      </c>
      <c r="C1896" s="4" t="str">
        <f>HYPERLINK("http://www.rncp.cncp.gouv.fr/grand-public/visualisationFiche?format=fr&amp;fiche=9295","9295")</f>
        <v>9295</v>
      </c>
      <c r="D1896" s="4" t="str">
        <f>HYPERLINK("http://www.intercariforef.org/formations/certification-68731.html","68731")</f>
        <v>68731</v>
      </c>
      <c r="E1896" s="5">
        <v>142249</v>
      </c>
      <c r="F1896" s="5" t="s">
        <v>10</v>
      </c>
      <c r="G1896" s="5" t="s">
        <v>11</v>
      </c>
      <c r="H1896" s="3" t="s">
        <v>81</v>
      </c>
    </row>
    <row r="1897" spans="1:8" ht="13.8" x14ac:dyDescent="0.25">
      <c r="A1897" s="3" t="s">
        <v>2317</v>
      </c>
      <c r="B1897" s="3" t="s">
        <v>2381</v>
      </c>
      <c r="C1897" s="4" t="str">
        <f>HYPERLINK("http://www.rncp.cncp.gouv.fr/grand-public/visualisationFiche?format=fr&amp;fiche=10304","10304")</f>
        <v>10304</v>
      </c>
      <c r="D1897" s="4" t="str">
        <f>HYPERLINK("http://www.intercariforef.org/formations/certification-68732.html","68732")</f>
        <v>68732</v>
      </c>
      <c r="E1897" s="5">
        <v>142246</v>
      </c>
      <c r="F1897" s="5" t="s">
        <v>10</v>
      </c>
      <c r="G1897" s="5" t="s">
        <v>11</v>
      </c>
      <c r="H1897" s="3" t="s">
        <v>81</v>
      </c>
    </row>
    <row r="1898" spans="1:8" ht="13.8" x14ac:dyDescent="0.25">
      <c r="A1898" s="3" t="s">
        <v>2317</v>
      </c>
      <c r="B1898" s="3" t="s">
        <v>2382</v>
      </c>
      <c r="C1898" s="4" t="str">
        <f>HYPERLINK("http://www.rncp.cncp.gouv.fr/grand-public/visualisationFiche?format=fr&amp;fiche=7585","7585")</f>
        <v>7585</v>
      </c>
      <c r="D1898" s="4" t="str">
        <f>HYPERLINK("http://www.intercariforef.org/formations/certification-63665.html","63665")</f>
        <v>63665</v>
      </c>
      <c r="E1898" s="5">
        <v>2150</v>
      </c>
      <c r="F1898" s="5" t="s">
        <v>10</v>
      </c>
      <c r="G1898" s="5" t="s">
        <v>11</v>
      </c>
      <c r="H1898" s="3" t="s">
        <v>81</v>
      </c>
    </row>
    <row r="1899" spans="1:8" ht="13.8" x14ac:dyDescent="0.25">
      <c r="A1899" s="3" t="s">
        <v>2317</v>
      </c>
      <c r="B1899" s="3" t="s">
        <v>2383</v>
      </c>
      <c r="C1899" s="4" t="str">
        <f>HYPERLINK("http://www.rncp.cncp.gouv.fr/grand-public/visualisationFiche?format=fr&amp;fiche=7069","7069")</f>
        <v>7069</v>
      </c>
      <c r="D1899" s="4" t="str">
        <f>HYPERLINK("http://www.intercariforef.org/formations/certification-62814.html","62814")</f>
        <v>62814</v>
      </c>
      <c r="E1899" s="5">
        <v>2147</v>
      </c>
      <c r="F1899" s="5" t="s">
        <v>10</v>
      </c>
      <c r="G1899" s="5" t="s">
        <v>11</v>
      </c>
      <c r="H1899" s="3" t="s">
        <v>81</v>
      </c>
    </row>
    <row r="1900" spans="1:8" ht="27.6" x14ac:dyDescent="0.25">
      <c r="A1900" s="3" t="s">
        <v>2317</v>
      </c>
      <c r="B1900" s="3" t="s">
        <v>2384</v>
      </c>
      <c r="C1900" s="4" t="str">
        <f>HYPERLINK("http://www.rncp.cncp.gouv.fr/grand-public/visualisationFiche?format=fr&amp;fiche=13876","13876")</f>
        <v>13876</v>
      </c>
      <c r="D1900" s="4" t="str">
        <f>HYPERLINK("http://www.intercariforef.org/formations/certification-74925.html","74925")</f>
        <v>74925</v>
      </c>
      <c r="E1900" s="5">
        <v>2148</v>
      </c>
      <c r="F1900" s="5" t="s">
        <v>10</v>
      </c>
      <c r="G1900" s="5" t="s">
        <v>11</v>
      </c>
      <c r="H1900" s="3" t="s">
        <v>2342</v>
      </c>
    </row>
    <row r="1901" spans="1:8" ht="27.6" x14ac:dyDescent="0.25">
      <c r="A1901" s="3" t="s">
        <v>2317</v>
      </c>
      <c r="B1901" s="3" t="s">
        <v>2385</v>
      </c>
      <c r="C1901" s="4" t="str">
        <f>HYPERLINK("http://www.rncp.cncp.gouv.fr/grand-public/visualisationFiche?format=fr&amp;fiche=13896","13896")</f>
        <v>13896</v>
      </c>
      <c r="D1901" s="4" t="str">
        <f>HYPERLINK("http://www.intercariforef.org/formations/certification-74926.html","74926")</f>
        <v>74926</v>
      </c>
      <c r="E1901" s="5">
        <v>2149</v>
      </c>
      <c r="F1901" s="5" t="s">
        <v>10</v>
      </c>
      <c r="G1901" s="5" t="s">
        <v>11</v>
      </c>
      <c r="H1901" s="3" t="s">
        <v>2342</v>
      </c>
    </row>
    <row r="1902" spans="1:8" ht="13.8" x14ac:dyDescent="0.25">
      <c r="A1902" s="3" t="s">
        <v>2317</v>
      </c>
      <c r="B1902" s="3" t="s">
        <v>2386</v>
      </c>
      <c r="C1902" s="4" t="str">
        <f>HYPERLINK("http://www.rncp.cncp.gouv.fr/grand-public/visualisationFiche?format=fr&amp;fiche=4478","4478")</f>
        <v>4478</v>
      </c>
      <c r="D1902" s="4" t="str">
        <f>HYPERLINK("http://www.intercariforef.org/formations/certification-50161.html","50161")</f>
        <v>50161</v>
      </c>
      <c r="E1902" s="5">
        <v>161250</v>
      </c>
      <c r="F1902" s="5" t="s">
        <v>10</v>
      </c>
      <c r="G1902" s="5" t="s">
        <v>11</v>
      </c>
      <c r="H1902" s="3" t="s">
        <v>81</v>
      </c>
    </row>
    <row r="1903" spans="1:8" ht="13.8" x14ac:dyDescent="0.25">
      <c r="A1903" s="3" t="s">
        <v>2317</v>
      </c>
      <c r="B1903" s="3" t="s">
        <v>2387</v>
      </c>
      <c r="C1903" s="4" t="str">
        <f t="shared" ref="C1903:C1908" si="1">HYPERLINK("http://www.rncp.cncp.gouv.fr/grand-public/visualisationFiche?format=fr&amp;fiche=4089","4089")</f>
        <v>4089</v>
      </c>
      <c r="D1903" s="4" t="str">
        <f>HYPERLINK("http://www.intercariforef.org/formations/certification-77220.html","77220")</f>
        <v>77220</v>
      </c>
      <c r="E1903" s="5">
        <v>130827</v>
      </c>
      <c r="F1903" s="5" t="s">
        <v>10</v>
      </c>
      <c r="G1903" s="5" t="s">
        <v>11</v>
      </c>
      <c r="H1903" s="3" t="s">
        <v>81</v>
      </c>
    </row>
    <row r="1904" spans="1:8" ht="13.8" x14ac:dyDescent="0.25">
      <c r="A1904" s="3" t="s">
        <v>2317</v>
      </c>
      <c r="B1904" s="3" t="s">
        <v>2388</v>
      </c>
      <c r="C1904" s="4" t="str">
        <f t="shared" si="1"/>
        <v>4089</v>
      </c>
      <c r="D1904" s="4" t="str">
        <f>HYPERLINK("http://www.intercariforef.org/formations/certification-77223.html","77223")</f>
        <v>77223</v>
      </c>
      <c r="E1904" s="5">
        <v>130826</v>
      </c>
      <c r="F1904" s="5" t="s">
        <v>10</v>
      </c>
      <c r="G1904" s="5" t="s">
        <v>11</v>
      </c>
      <c r="H1904" s="3" t="s">
        <v>81</v>
      </c>
    </row>
    <row r="1905" spans="1:8" ht="13.8" x14ac:dyDescent="0.25">
      <c r="A1905" s="3" t="s">
        <v>2317</v>
      </c>
      <c r="B1905" s="3" t="s">
        <v>2389</v>
      </c>
      <c r="C1905" s="4" t="str">
        <f t="shared" si="1"/>
        <v>4089</v>
      </c>
      <c r="D1905" s="4" t="str">
        <f>HYPERLINK("http://www.intercariforef.org/formations/certification-77225.html","77225")</f>
        <v>77225</v>
      </c>
      <c r="E1905" s="5">
        <v>130825</v>
      </c>
      <c r="F1905" s="5" t="s">
        <v>10</v>
      </c>
      <c r="G1905" s="5" t="s">
        <v>11</v>
      </c>
      <c r="H1905" s="3" t="s">
        <v>81</v>
      </c>
    </row>
    <row r="1906" spans="1:8" ht="27.6" x14ac:dyDescent="0.25">
      <c r="A1906" s="3" t="s">
        <v>2317</v>
      </c>
      <c r="B1906" s="3" t="s">
        <v>2390</v>
      </c>
      <c r="C1906" s="4" t="str">
        <f t="shared" si="1"/>
        <v>4089</v>
      </c>
      <c r="D1906" s="4" t="str">
        <f>HYPERLINK("http://www.intercariforef.org/formations/certification-77232.html","77232")</f>
        <v>77232</v>
      </c>
      <c r="E1906" s="5">
        <v>130824</v>
      </c>
      <c r="F1906" s="5" t="s">
        <v>10</v>
      </c>
      <c r="G1906" s="5" t="s">
        <v>11</v>
      </c>
      <c r="H1906" s="3" t="s">
        <v>81</v>
      </c>
    </row>
    <row r="1907" spans="1:8" ht="13.8" x14ac:dyDescent="0.25">
      <c r="A1907" s="3" t="s">
        <v>2317</v>
      </c>
      <c r="B1907" s="3" t="s">
        <v>2391</v>
      </c>
      <c r="C1907" s="4" t="str">
        <f t="shared" si="1"/>
        <v>4089</v>
      </c>
      <c r="D1907" s="4" t="str">
        <f>HYPERLINK("http://www.intercariforef.org/formations/certification-77236.html","77236")</f>
        <v>77236</v>
      </c>
      <c r="E1907" s="5">
        <v>130823</v>
      </c>
      <c r="F1907" s="5" t="s">
        <v>10</v>
      </c>
      <c r="G1907" s="5" t="s">
        <v>11</v>
      </c>
      <c r="H1907" s="3" t="s">
        <v>81</v>
      </c>
    </row>
    <row r="1908" spans="1:8" ht="27.6" x14ac:dyDescent="0.25">
      <c r="A1908" s="3" t="s">
        <v>2317</v>
      </c>
      <c r="B1908" s="3" t="s">
        <v>2392</v>
      </c>
      <c r="C1908" s="4" t="str">
        <f t="shared" si="1"/>
        <v>4089</v>
      </c>
      <c r="D1908" s="4" t="str">
        <f>HYPERLINK("http://www.intercariforef.org/formations/certification-77239.html","77239")</f>
        <v>77239</v>
      </c>
      <c r="E1908" s="5">
        <v>130822</v>
      </c>
      <c r="F1908" s="5" t="s">
        <v>10</v>
      </c>
      <c r="G1908" s="5" t="s">
        <v>11</v>
      </c>
      <c r="H1908" s="3" t="s">
        <v>81</v>
      </c>
    </row>
    <row r="1909" spans="1:8" ht="13.8" x14ac:dyDescent="0.25">
      <c r="A1909" s="3" t="s">
        <v>2317</v>
      </c>
      <c r="B1909" s="3" t="s">
        <v>2393</v>
      </c>
      <c r="C1909" s="4" t="str">
        <f>HYPERLINK("http://www.rncp.cncp.gouv.fr/grand-public/visualisationFiche?format=fr&amp;fiche=4434","4434")</f>
        <v>4434</v>
      </c>
      <c r="D1909" s="4" t="str">
        <f>HYPERLINK("http://www.intercariforef.org/formations/certification-81455.html","81455")</f>
        <v>81455</v>
      </c>
      <c r="E1909" s="5">
        <v>142250</v>
      </c>
      <c r="F1909" s="5" t="s">
        <v>10</v>
      </c>
      <c r="G1909" s="5" t="s">
        <v>11</v>
      </c>
      <c r="H1909" s="3" t="s">
        <v>81</v>
      </c>
    </row>
    <row r="1910" spans="1:8" ht="13.8" x14ac:dyDescent="0.25">
      <c r="A1910" s="3" t="s">
        <v>2317</v>
      </c>
      <c r="B1910" s="3" t="s">
        <v>2394</v>
      </c>
      <c r="C1910" s="4" t="str">
        <f>HYPERLINK("http://www.rncp.cncp.gouv.fr/grand-public/visualisationFiche?format=fr&amp;fiche=4088","4088")</f>
        <v>4088</v>
      </c>
      <c r="D1910" s="4" t="str">
        <f>HYPERLINK("http://www.intercariforef.org/formations/certification-51470.html","51470")</f>
        <v>51470</v>
      </c>
      <c r="E1910" s="5">
        <v>142254</v>
      </c>
      <c r="F1910" s="5" t="s">
        <v>10</v>
      </c>
      <c r="G1910" s="5" t="s">
        <v>11</v>
      </c>
      <c r="H1910" s="3" t="s">
        <v>81</v>
      </c>
    </row>
    <row r="1911" spans="1:8" ht="13.8" x14ac:dyDescent="0.25">
      <c r="A1911" s="3" t="s">
        <v>2317</v>
      </c>
      <c r="B1911" s="3" t="s">
        <v>2395</v>
      </c>
      <c r="C1911" s="4" t="str">
        <f>HYPERLINK("http://www.rncp.cncp.gouv.fr/grand-public/visualisationFiche?format=fr&amp;fiche=420","420")</f>
        <v>420</v>
      </c>
      <c r="D1911" s="4" t="str">
        <f>HYPERLINK("http://www.intercariforef.org/formations/certification-20311.html","20311")</f>
        <v>20311</v>
      </c>
      <c r="E1911" s="5">
        <v>142251</v>
      </c>
      <c r="F1911" s="5" t="s">
        <v>10</v>
      </c>
      <c r="G1911" s="5" t="s">
        <v>11</v>
      </c>
      <c r="H1911" s="3" t="s">
        <v>81</v>
      </c>
    </row>
    <row r="1912" spans="1:8" ht="13.8" x14ac:dyDescent="0.25">
      <c r="A1912" s="3" t="s">
        <v>2317</v>
      </c>
      <c r="B1912" s="3" t="s">
        <v>2396</v>
      </c>
      <c r="C1912" s="4" t="str">
        <f>HYPERLINK("http://www.rncp.cncp.gouv.fr/grand-public/visualisationFiche?format=fr&amp;fiche=7140","7140")</f>
        <v>7140</v>
      </c>
      <c r="D1912" s="4" t="str">
        <f>HYPERLINK("http://www.intercariforef.org/formations/certification-62838.html","62838")</f>
        <v>62838</v>
      </c>
      <c r="E1912" s="5">
        <v>142252</v>
      </c>
      <c r="F1912" s="5" t="s">
        <v>10</v>
      </c>
      <c r="G1912" s="5" t="s">
        <v>11</v>
      </c>
      <c r="H1912" s="3" t="s">
        <v>81</v>
      </c>
    </row>
    <row r="1913" spans="1:8" ht="13.8" x14ac:dyDescent="0.25">
      <c r="A1913" s="3" t="s">
        <v>2317</v>
      </c>
      <c r="B1913" s="3" t="s">
        <v>2397</v>
      </c>
      <c r="C1913" s="4" t="str">
        <f>HYPERLINK("http://www.rncp.cncp.gouv.fr/grand-public/visualisationFiche?format=fr&amp;fiche=923","923")</f>
        <v>923</v>
      </c>
      <c r="D1913" s="4" t="str">
        <f>HYPERLINK("http://www.intercariforef.org/formations/certification-20546.html","20546")</f>
        <v>20546</v>
      </c>
      <c r="E1913" s="5">
        <v>154460</v>
      </c>
      <c r="F1913" s="5" t="s">
        <v>10</v>
      </c>
      <c r="G1913" s="5" t="s">
        <v>11</v>
      </c>
      <c r="H1913" s="3" t="s">
        <v>81</v>
      </c>
    </row>
    <row r="1914" spans="1:8" ht="41.4" x14ac:dyDescent="0.25">
      <c r="A1914" s="3" t="s">
        <v>2317</v>
      </c>
      <c r="B1914" s="3" t="s">
        <v>2398</v>
      </c>
      <c r="C1914" s="5"/>
      <c r="D1914" s="4" t="str">
        <f>HYPERLINK("http://www.intercariforef.org/formations/certification-81527.html","81527")</f>
        <v>81527</v>
      </c>
      <c r="E1914" s="5">
        <v>142271</v>
      </c>
      <c r="F1914" s="5" t="s">
        <v>10</v>
      </c>
      <c r="G1914" s="5" t="s">
        <v>11</v>
      </c>
      <c r="H1914" s="3" t="s">
        <v>81</v>
      </c>
    </row>
    <row r="1915" spans="1:8" ht="41.4" x14ac:dyDescent="0.25">
      <c r="A1915" s="3" t="s">
        <v>2317</v>
      </c>
      <c r="B1915" s="3" t="s">
        <v>2399</v>
      </c>
      <c r="C1915" s="5"/>
      <c r="D1915" s="4" t="str">
        <f>HYPERLINK("http://www.intercariforef.org/formations/certification-81539.html","81539")</f>
        <v>81539</v>
      </c>
      <c r="E1915" s="5">
        <v>142272</v>
      </c>
      <c r="F1915" s="5" t="s">
        <v>10</v>
      </c>
      <c r="G1915" s="5" t="s">
        <v>11</v>
      </c>
      <c r="H1915" s="3" t="s">
        <v>81</v>
      </c>
    </row>
    <row r="1916" spans="1:8" ht="41.4" x14ac:dyDescent="0.25">
      <c r="A1916" s="3" t="s">
        <v>2317</v>
      </c>
      <c r="B1916" s="3" t="s">
        <v>2400</v>
      </c>
      <c r="C1916" s="5"/>
      <c r="D1916" s="4" t="str">
        <f>HYPERLINK("http://www.intercariforef.org/formations/certification-81533.html","81533")</f>
        <v>81533</v>
      </c>
      <c r="E1916" s="5">
        <v>142268</v>
      </c>
      <c r="F1916" s="5" t="s">
        <v>10</v>
      </c>
      <c r="G1916" s="5" t="s">
        <v>11</v>
      </c>
      <c r="H1916" s="3" t="s">
        <v>81</v>
      </c>
    </row>
    <row r="1917" spans="1:8" ht="41.4" x14ac:dyDescent="0.25">
      <c r="A1917" s="3" t="s">
        <v>2317</v>
      </c>
      <c r="B1917" s="3" t="s">
        <v>2401</v>
      </c>
      <c r="C1917" s="5"/>
      <c r="D1917" s="4" t="str">
        <f>HYPERLINK("http://www.intercariforef.org/formations/certification-81528.html","81528")</f>
        <v>81528</v>
      </c>
      <c r="E1917" s="5">
        <v>142270</v>
      </c>
      <c r="F1917" s="5" t="s">
        <v>10</v>
      </c>
      <c r="G1917" s="5" t="s">
        <v>11</v>
      </c>
      <c r="H1917" s="3" t="s">
        <v>81</v>
      </c>
    </row>
    <row r="1918" spans="1:8" ht="41.4" x14ac:dyDescent="0.25">
      <c r="A1918" s="3" t="s">
        <v>2317</v>
      </c>
      <c r="B1918" s="3" t="s">
        <v>2402</v>
      </c>
      <c r="C1918" s="5"/>
      <c r="D1918" s="4" t="str">
        <f>HYPERLINK("http://www.intercariforef.org/formations/certification-81536.html","81536")</f>
        <v>81536</v>
      </c>
      <c r="E1918" s="5">
        <v>142269</v>
      </c>
      <c r="F1918" s="5" t="s">
        <v>10</v>
      </c>
      <c r="G1918" s="5" t="s">
        <v>11</v>
      </c>
      <c r="H1918" s="3" t="s">
        <v>81</v>
      </c>
    </row>
    <row r="1919" spans="1:8" ht="27.6" x14ac:dyDescent="0.25">
      <c r="A1919" s="3" t="s">
        <v>2317</v>
      </c>
      <c r="B1919" s="3" t="s">
        <v>2403</v>
      </c>
      <c r="C1919" s="4" t="str">
        <f>HYPERLINK("http://www.rncp.cncp.gouv.fr/grand-public/visualisationFiche?format=fr&amp;fiche=12962","12962")</f>
        <v>12962</v>
      </c>
      <c r="D1919" s="4" t="str">
        <f>HYPERLINK("http://www.intercariforef.org/formations/certification-50850.html","50850")</f>
        <v>50850</v>
      </c>
      <c r="E1919" s="5">
        <v>2151</v>
      </c>
      <c r="F1919" s="5" t="s">
        <v>10</v>
      </c>
      <c r="G1919" s="5" t="s">
        <v>11</v>
      </c>
      <c r="H1919" s="3" t="s">
        <v>2404</v>
      </c>
    </row>
    <row r="1920" spans="1:8" ht="13.8" x14ac:dyDescent="0.25">
      <c r="A1920" s="3" t="s">
        <v>2317</v>
      </c>
      <c r="B1920" s="3" t="s">
        <v>2405</v>
      </c>
      <c r="C1920" s="4" t="str">
        <f>HYPERLINK("http://www.rncp.cncp.gouv.fr/grand-public/visualisationFiche?format=fr&amp;fiche=1160","1160")</f>
        <v>1160</v>
      </c>
      <c r="D1920" s="4" t="str">
        <f>HYPERLINK("http://www.intercariforef.org/formations/certification-20338.html","20338")</f>
        <v>20338</v>
      </c>
      <c r="E1920" s="5">
        <v>16233</v>
      </c>
      <c r="F1920" s="5" t="s">
        <v>10</v>
      </c>
      <c r="G1920" s="5" t="s">
        <v>11</v>
      </c>
      <c r="H1920" s="3" t="s">
        <v>81</v>
      </c>
    </row>
    <row r="1921" spans="1:8" ht="13.8" x14ac:dyDescent="0.25">
      <c r="A1921" s="3" t="s">
        <v>2317</v>
      </c>
      <c r="B1921" s="3" t="s">
        <v>2406</v>
      </c>
      <c r="C1921" s="4" t="str">
        <f>HYPERLINK("http://www.rncp.cncp.gouv.fr/grand-public/visualisationFiche?format=fr&amp;fiche=1143","1143")</f>
        <v>1143</v>
      </c>
      <c r="D1921" s="4" t="str">
        <f>HYPERLINK("http://www.intercariforef.org/formations/certification-20339.html","20339")</f>
        <v>20339</v>
      </c>
      <c r="E1921" s="5">
        <v>16235</v>
      </c>
      <c r="F1921" s="5" t="s">
        <v>10</v>
      </c>
      <c r="G1921" s="5" t="s">
        <v>11</v>
      </c>
      <c r="H1921" s="3" t="s">
        <v>81</v>
      </c>
    </row>
    <row r="1922" spans="1:8" ht="13.8" x14ac:dyDescent="0.25">
      <c r="A1922" s="3" t="s">
        <v>2317</v>
      </c>
      <c r="B1922" s="3" t="s">
        <v>2407</v>
      </c>
      <c r="C1922" s="4" t="str">
        <f>HYPERLINK("http://www.rncp.cncp.gouv.fr/grand-public/visualisationFiche?format=fr&amp;fiche=5629","5629")</f>
        <v>5629</v>
      </c>
      <c r="D1922" s="4" t="str">
        <f>HYPERLINK("http://www.intercariforef.org/formations/certification-58773.html","58773")</f>
        <v>58773</v>
      </c>
      <c r="E1922" s="5">
        <v>2152</v>
      </c>
      <c r="F1922" s="5" t="s">
        <v>10</v>
      </c>
      <c r="G1922" s="5" t="s">
        <v>11</v>
      </c>
      <c r="H1922" s="3" t="s">
        <v>81</v>
      </c>
    </row>
    <row r="1923" spans="1:8" ht="13.8" x14ac:dyDescent="0.25">
      <c r="A1923" s="3" t="s">
        <v>2317</v>
      </c>
      <c r="B1923" s="3" t="s">
        <v>2408</v>
      </c>
      <c r="C1923" s="4" t="str">
        <f>HYPERLINK("http://www.rncp.cncp.gouv.fr/grand-public/visualisationFiche?format=fr&amp;fiche=810","810")</f>
        <v>810</v>
      </c>
      <c r="D1923" s="4" t="str">
        <f>HYPERLINK("http://www.intercariforef.org/formations/certification-81662.html","81662")</f>
        <v>81662</v>
      </c>
      <c r="E1923" s="5">
        <v>150722</v>
      </c>
      <c r="F1923" s="5" t="s">
        <v>10</v>
      </c>
      <c r="G1923" s="5" t="s">
        <v>11</v>
      </c>
      <c r="H1923" s="3" t="s">
        <v>81</v>
      </c>
    </row>
    <row r="1924" spans="1:8" ht="13.8" x14ac:dyDescent="0.25">
      <c r="A1924" s="3" t="s">
        <v>2317</v>
      </c>
      <c r="B1924" s="3" t="s">
        <v>2409</v>
      </c>
      <c r="C1924" s="5"/>
      <c r="D1924" s="4" t="str">
        <f>HYPERLINK("http://www.intercariforef.org/formations/certification-81671.html","81671")</f>
        <v>81671</v>
      </c>
      <c r="E1924" s="5">
        <v>2176</v>
      </c>
      <c r="F1924" s="5" t="s">
        <v>10</v>
      </c>
      <c r="G1924" s="5" t="s">
        <v>11</v>
      </c>
      <c r="H1924" s="3" t="s">
        <v>81</v>
      </c>
    </row>
    <row r="1925" spans="1:8" ht="13.8" x14ac:dyDescent="0.25">
      <c r="A1925" s="3" t="s">
        <v>2317</v>
      </c>
      <c r="B1925" s="3" t="s">
        <v>2410</v>
      </c>
      <c r="C1925" s="4" t="str">
        <f>HYPERLINK("http://www.rncp.cncp.gouv.fr/grand-public/visualisationFiche?format=fr&amp;fiche=811","811")</f>
        <v>811</v>
      </c>
      <c r="D1925" s="4" t="str">
        <f>HYPERLINK("http://www.intercariforef.org/formations/certification-20347.html","20347")</f>
        <v>20347</v>
      </c>
      <c r="E1925" s="5">
        <v>142255</v>
      </c>
      <c r="F1925" s="5" t="s">
        <v>10</v>
      </c>
      <c r="G1925" s="5" t="s">
        <v>11</v>
      </c>
      <c r="H1925" s="3" t="s">
        <v>81</v>
      </c>
    </row>
    <row r="1926" spans="1:8" ht="13.8" x14ac:dyDescent="0.25">
      <c r="A1926" s="3" t="s">
        <v>2317</v>
      </c>
      <c r="B1926" s="3" t="s">
        <v>2411</v>
      </c>
      <c r="C1926" s="4" t="str">
        <f>HYPERLINK("http://www.rncp.cncp.gouv.fr/grand-public/visualisationFiche?format=fr&amp;fiche=965","965")</f>
        <v>965</v>
      </c>
      <c r="D1926" s="4" t="str">
        <f>HYPERLINK("http://www.intercariforef.org/formations/certification-20669.html","20669")</f>
        <v>20669</v>
      </c>
      <c r="E1926" s="5">
        <v>161252</v>
      </c>
      <c r="F1926" s="5" t="s">
        <v>10</v>
      </c>
      <c r="G1926" s="5" t="s">
        <v>11</v>
      </c>
      <c r="H1926" s="3" t="s">
        <v>81</v>
      </c>
    </row>
    <row r="1927" spans="1:8" ht="13.8" x14ac:dyDescent="0.25">
      <c r="A1927" s="3" t="s">
        <v>2317</v>
      </c>
      <c r="B1927" s="3" t="s">
        <v>2412</v>
      </c>
      <c r="C1927" s="4" t="str">
        <f>HYPERLINK("http://www.rncp.cncp.gouv.fr/grand-public/visualisationFiche?format=fr&amp;fiche=964","964")</f>
        <v>964</v>
      </c>
      <c r="D1927" s="4" t="str">
        <f>HYPERLINK("http://www.intercariforef.org/formations/certification-20670.html","20670")</f>
        <v>20670</v>
      </c>
      <c r="E1927" s="5">
        <v>154991</v>
      </c>
      <c r="F1927" s="5" t="s">
        <v>10</v>
      </c>
      <c r="G1927" s="5" t="s">
        <v>11</v>
      </c>
      <c r="H1927" s="3" t="s">
        <v>81</v>
      </c>
    </row>
    <row r="1928" spans="1:8" ht="13.8" x14ac:dyDescent="0.25">
      <c r="A1928" s="3" t="s">
        <v>2317</v>
      </c>
      <c r="B1928" s="3" t="s">
        <v>2413</v>
      </c>
      <c r="C1928" s="4" t="str">
        <f>HYPERLINK("http://www.rncp.cncp.gouv.fr/grand-public/visualisationFiche?format=fr&amp;fiche=967","967")</f>
        <v>967</v>
      </c>
      <c r="D1928" s="4" t="str">
        <f>HYPERLINK("http://www.intercariforef.org/formations/certification-20674.html","20674")</f>
        <v>20674</v>
      </c>
      <c r="E1928" s="5">
        <v>142256</v>
      </c>
      <c r="F1928" s="5" t="s">
        <v>10</v>
      </c>
      <c r="G1928" s="5" t="s">
        <v>11</v>
      </c>
      <c r="H1928" s="3" t="s">
        <v>81</v>
      </c>
    </row>
    <row r="1929" spans="1:8" ht="13.8" x14ac:dyDescent="0.25">
      <c r="A1929" s="3" t="s">
        <v>2317</v>
      </c>
      <c r="B1929" s="3" t="s">
        <v>2414</v>
      </c>
      <c r="C1929" s="4" t="str">
        <f>HYPERLINK("http://www.rncp.cncp.gouv.fr/grand-public/visualisationFiche?format=fr&amp;fiche=969","969")</f>
        <v>969</v>
      </c>
      <c r="D1929" s="4" t="str">
        <f>HYPERLINK("http://www.intercariforef.org/formations/certification-20677.html","20677")</f>
        <v>20677</v>
      </c>
      <c r="E1929" s="5">
        <v>142257</v>
      </c>
      <c r="F1929" s="5" t="s">
        <v>10</v>
      </c>
      <c r="G1929" s="5" t="s">
        <v>11</v>
      </c>
      <c r="H1929" s="3" t="s">
        <v>81</v>
      </c>
    </row>
    <row r="1930" spans="1:8" ht="13.8" x14ac:dyDescent="0.25">
      <c r="A1930" s="3" t="s">
        <v>2317</v>
      </c>
      <c r="B1930" s="3" t="s">
        <v>2415</v>
      </c>
      <c r="C1930" s="4" t="str">
        <f>HYPERLINK("http://www.rncp.cncp.gouv.fr/grand-public/visualisationFiche?format=fr&amp;fiche=970","970")</f>
        <v>970</v>
      </c>
      <c r="D1930" s="4" t="str">
        <f>HYPERLINK("http://www.intercariforef.org/formations/certification-20679.html","20679")</f>
        <v>20679</v>
      </c>
      <c r="E1930" s="5">
        <v>2155</v>
      </c>
      <c r="F1930" s="5" t="s">
        <v>10</v>
      </c>
      <c r="G1930" s="5" t="s">
        <v>11</v>
      </c>
      <c r="H1930" s="3" t="s">
        <v>81</v>
      </c>
    </row>
    <row r="1931" spans="1:8" ht="13.8" x14ac:dyDescent="0.25">
      <c r="A1931" s="3" t="s">
        <v>2317</v>
      </c>
      <c r="B1931" s="3" t="s">
        <v>2416</v>
      </c>
      <c r="C1931" s="4" t="str">
        <f>HYPERLINK("http://www.rncp.cncp.gouv.fr/grand-public/visualisationFiche?format=fr&amp;fiche=13856","13856")</f>
        <v>13856</v>
      </c>
      <c r="D1931" s="4" t="str">
        <f>HYPERLINK("http://www.intercariforef.org/formations/certification-77210.html","77210")</f>
        <v>77210</v>
      </c>
      <c r="E1931" s="5">
        <v>2158</v>
      </c>
      <c r="F1931" s="5" t="s">
        <v>10</v>
      </c>
      <c r="G1931" s="5" t="s">
        <v>11</v>
      </c>
      <c r="H1931" s="3" t="s">
        <v>81</v>
      </c>
    </row>
    <row r="1932" spans="1:8" ht="13.8" x14ac:dyDescent="0.25">
      <c r="A1932" s="3" t="s">
        <v>2317</v>
      </c>
      <c r="B1932" s="3" t="s">
        <v>2417</v>
      </c>
      <c r="C1932" s="4" t="str">
        <f>HYPERLINK("http://www.rncp.cncp.gouv.fr/grand-public/visualisationFiche?format=fr&amp;fiche=972","972")</f>
        <v>972</v>
      </c>
      <c r="D1932" s="4" t="str">
        <f>HYPERLINK("http://www.intercariforef.org/formations/certification-20687.html","20687")</f>
        <v>20687</v>
      </c>
      <c r="E1932" s="5">
        <v>2159</v>
      </c>
      <c r="F1932" s="5" t="s">
        <v>10</v>
      </c>
      <c r="G1932" s="5" t="s">
        <v>11</v>
      </c>
      <c r="H1932" s="3" t="s">
        <v>81</v>
      </c>
    </row>
    <row r="1933" spans="1:8" ht="13.8" x14ac:dyDescent="0.25">
      <c r="A1933" s="3" t="s">
        <v>2317</v>
      </c>
      <c r="B1933" s="3" t="s">
        <v>2418</v>
      </c>
      <c r="C1933" s="4" t="str">
        <f>HYPERLINK("http://www.rncp.cncp.gouv.fr/grand-public/visualisationFiche?format=fr&amp;fiche=975","975")</f>
        <v>975</v>
      </c>
      <c r="D1933" s="4" t="str">
        <f>HYPERLINK("http://www.intercariforef.org/formations/certification-20692.html","20692")</f>
        <v>20692</v>
      </c>
      <c r="E1933" s="5">
        <v>2160</v>
      </c>
      <c r="F1933" s="5" t="s">
        <v>10</v>
      </c>
      <c r="G1933" s="5" t="s">
        <v>11</v>
      </c>
      <c r="H1933" s="3" t="s">
        <v>81</v>
      </c>
    </row>
    <row r="1934" spans="1:8" ht="13.8" x14ac:dyDescent="0.25">
      <c r="A1934" s="3" t="s">
        <v>2317</v>
      </c>
      <c r="B1934" s="3" t="s">
        <v>2419</v>
      </c>
      <c r="C1934" s="4" t="str">
        <f>HYPERLINK("http://www.rncp.cncp.gouv.fr/grand-public/visualisationFiche?format=fr&amp;fiche=1113","1113")</f>
        <v>1113</v>
      </c>
      <c r="D1934" s="4" t="str">
        <f>HYPERLINK("http://www.intercariforef.org/formations/certification-20708.html","20708")</f>
        <v>20708</v>
      </c>
      <c r="E1934" s="5">
        <v>142258</v>
      </c>
      <c r="F1934" s="5" t="s">
        <v>10</v>
      </c>
      <c r="G1934" s="5" t="s">
        <v>11</v>
      </c>
      <c r="H1934" s="3" t="s">
        <v>81</v>
      </c>
    </row>
    <row r="1935" spans="1:8" ht="13.8" x14ac:dyDescent="0.25">
      <c r="A1935" s="3" t="s">
        <v>2317</v>
      </c>
      <c r="B1935" s="3" t="s">
        <v>2420</v>
      </c>
      <c r="C1935" s="4" t="str">
        <f>HYPERLINK("http://www.rncp.cncp.gouv.fr/grand-public/visualisationFiche?format=fr&amp;fiche=982","982")</f>
        <v>982</v>
      </c>
      <c r="D1935" s="4" t="str">
        <f>HYPERLINK("http://www.intercariforef.org/formations/certification-20719.html","20719")</f>
        <v>20719</v>
      </c>
      <c r="E1935" s="5">
        <v>142259</v>
      </c>
      <c r="F1935" s="5" t="s">
        <v>10</v>
      </c>
      <c r="G1935" s="5" t="s">
        <v>11</v>
      </c>
      <c r="H1935" s="3" t="s">
        <v>81</v>
      </c>
    </row>
    <row r="1936" spans="1:8" ht="13.8" x14ac:dyDescent="0.25">
      <c r="A1936" s="3" t="s">
        <v>2317</v>
      </c>
      <c r="B1936" s="3" t="s">
        <v>2421</v>
      </c>
      <c r="C1936" s="4" t="str">
        <f>HYPERLINK("http://www.rncp.cncp.gouv.fr/grand-public/visualisationFiche?format=fr&amp;fiche=2033","2033")</f>
        <v>2033</v>
      </c>
      <c r="D1936" s="4" t="str">
        <f>HYPERLINK("http://www.intercariforef.org/formations/certification-20738.html","20738")</f>
        <v>20738</v>
      </c>
      <c r="E1936" s="5">
        <v>154992</v>
      </c>
      <c r="F1936" s="5" t="s">
        <v>10</v>
      </c>
      <c r="G1936" s="5" t="s">
        <v>11</v>
      </c>
      <c r="H1936" s="3" t="s">
        <v>81</v>
      </c>
    </row>
    <row r="1937" spans="1:8" ht="13.8" x14ac:dyDescent="0.25">
      <c r="A1937" s="3" t="s">
        <v>2317</v>
      </c>
      <c r="B1937" s="3" t="s">
        <v>2422</v>
      </c>
      <c r="C1937" s="4" t="str">
        <f>HYPERLINK("http://www.rncp.cncp.gouv.fr/grand-public/visualisationFiche?format=fr&amp;fiche=992","992")</f>
        <v>992</v>
      </c>
      <c r="D1937" s="4" t="str">
        <f>HYPERLINK("http://www.intercariforef.org/formations/certification-20750.html","20750")</f>
        <v>20750</v>
      </c>
      <c r="E1937" s="5">
        <v>142260</v>
      </c>
      <c r="F1937" s="5" t="s">
        <v>10</v>
      </c>
      <c r="G1937" s="5" t="s">
        <v>11</v>
      </c>
      <c r="H1937" s="3" t="s">
        <v>81</v>
      </c>
    </row>
    <row r="1938" spans="1:8" ht="13.8" x14ac:dyDescent="0.25">
      <c r="A1938" s="3" t="s">
        <v>2317</v>
      </c>
      <c r="B1938" s="3" t="s">
        <v>2423</v>
      </c>
      <c r="C1938" s="5"/>
      <c r="D1938" s="4" t="str">
        <f>HYPERLINK("http://www.intercariforef.org/formations/certification-82788.html","82788")</f>
        <v>82788</v>
      </c>
      <c r="E1938" s="5">
        <v>161251</v>
      </c>
      <c r="F1938" s="5" t="s">
        <v>10</v>
      </c>
      <c r="G1938" s="5" t="s">
        <v>11</v>
      </c>
      <c r="H1938" s="3" t="s">
        <v>81</v>
      </c>
    </row>
    <row r="1939" spans="1:8" ht="13.8" x14ac:dyDescent="0.25">
      <c r="A1939" s="3" t="s">
        <v>2317</v>
      </c>
      <c r="B1939" s="3" t="s">
        <v>2424</v>
      </c>
      <c r="C1939" s="4" t="str">
        <f>HYPERLINK("http://www.rncp.cncp.gouv.fr/grand-public/visualisationFiche?format=fr&amp;fiche=1001","1001")</f>
        <v>1001</v>
      </c>
      <c r="D1939" s="4" t="str">
        <f>HYPERLINK("http://www.intercariforef.org/formations/certification-20782.html","20782")</f>
        <v>20782</v>
      </c>
      <c r="E1939" s="5">
        <v>142261</v>
      </c>
      <c r="F1939" s="5" t="s">
        <v>10</v>
      </c>
      <c r="G1939" s="5" t="s">
        <v>11</v>
      </c>
      <c r="H1939" s="3" t="s">
        <v>81</v>
      </c>
    </row>
    <row r="1940" spans="1:8" ht="13.8" x14ac:dyDescent="0.25">
      <c r="A1940" s="3" t="s">
        <v>2317</v>
      </c>
      <c r="B1940" s="3" t="s">
        <v>2425</v>
      </c>
      <c r="C1940" s="4" t="str">
        <f>HYPERLINK("http://www.rncp.cncp.gouv.fr/grand-public/visualisationFiche?format=fr&amp;fiche=1002","1002")</f>
        <v>1002</v>
      </c>
      <c r="D1940" s="4" t="str">
        <f>HYPERLINK("http://www.intercariforef.org/formations/certification-20787.html","20787")</f>
        <v>20787</v>
      </c>
      <c r="E1940" s="5">
        <v>130829</v>
      </c>
      <c r="F1940" s="5" t="s">
        <v>10</v>
      </c>
      <c r="G1940" s="5" t="s">
        <v>11</v>
      </c>
      <c r="H1940" s="3" t="s">
        <v>81</v>
      </c>
    </row>
    <row r="1941" spans="1:8" ht="13.8" x14ac:dyDescent="0.25">
      <c r="A1941" s="3" t="s">
        <v>2317</v>
      </c>
      <c r="B1941" s="3" t="s">
        <v>2426</v>
      </c>
      <c r="C1941" s="4" t="str">
        <f>HYPERLINK("http://www.rncp.cncp.gouv.fr/grand-public/visualisationFiche?format=fr&amp;fiche=14853","14853")</f>
        <v>14853</v>
      </c>
      <c r="D1941" s="4" t="str">
        <f>HYPERLINK("http://www.intercariforef.org/formations/certification-74628.html","74628")</f>
        <v>74628</v>
      </c>
      <c r="E1941" s="5">
        <v>2153</v>
      </c>
      <c r="F1941" s="5" t="s">
        <v>10</v>
      </c>
      <c r="G1941" s="5" t="s">
        <v>11</v>
      </c>
      <c r="H1941" s="3" t="s">
        <v>2026</v>
      </c>
    </row>
    <row r="1942" spans="1:8" ht="13.8" x14ac:dyDescent="0.25">
      <c r="A1942" s="3" t="s">
        <v>2317</v>
      </c>
      <c r="B1942" s="3" t="s">
        <v>2427</v>
      </c>
      <c r="C1942" s="4" t="str">
        <f>HYPERLINK("http://www.rncp.cncp.gouv.fr/grand-public/visualisationFiche?format=fr&amp;fiche=14864","14864")</f>
        <v>14864</v>
      </c>
      <c r="D1942" s="4" t="str">
        <f>HYPERLINK("http://www.intercariforef.org/formations/certification-63446.html","63446")</f>
        <v>63446</v>
      </c>
      <c r="E1942" s="5">
        <v>2154</v>
      </c>
      <c r="F1942" s="5" t="s">
        <v>10</v>
      </c>
      <c r="G1942" s="5" t="s">
        <v>11</v>
      </c>
      <c r="H1942" s="3" t="s">
        <v>2026</v>
      </c>
    </row>
    <row r="1943" spans="1:8" ht="13.8" x14ac:dyDescent="0.25">
      <c r="A1943" s="3" t="s">
        <v>2317</v>
      </c>
      <c r="B1943" s="3" t="s">
        <v>2428</v>
      </c>
      <c r="C1943" s="4" t="str">
        <f>HYPERLINK("http://www.rncp.cncp.gouv.fr/grand-public/visualisationFiche?format=fr&amp;fiche=14852","14852")</f>
        <v>14852</v>
      </c>
      <c r="D1943" s="4" t="str">
        <f>HYPERLINK("http://www.intercariforef.org/formations/certification-75948.html","75948")</f>
        <v>75948</v>
      </c>
      <c r="E1943" s="5">
        <v>16355</v>
      </c>
      <c r="F1943" s="5" t="s">
        <v>10</v>
      </c>
      <c r="G1943" s="5" t="s">
        <v>11</v>
      </c>
      <c r="H1943" s="3" t="s">
        <v>2026</v>
      </c>
    </row>
    <row r="1944" spans="1:8" ht="13.8" x14ac:dyDescent="0.25">
      <c r="A1944" s="3" t="s">
        <v>2317</v>
      </c>
      <c r="B1944" s="3" t="s">
        <v>2429</v>
      </c>
      <c r="C1944" s="4" t="str">
        <f>HYPERLINK("http://www.rncp.cncp.gouv.fr/grand-public/visualisationFiche?format=fr&amp;fiche=14925","14925")</f>
        <v>14925</v>
      </c>
      <c r="D1944" s="4" t="str">
        <f>HYPERLINK("http://www.intercariforef.org/formations/certification-75841.html","75841")</f>
        <v>75841</v>
      </c>
      <c r="E1944" s="5">
        <v>142262</v>
      </c>
      <c r="F1944" s="5" t="s">
        <v>10</v>
      </c>
      <c r="G1944" s="5" t="s">
        <v>11</v>
      </c>
      <c r="H1944" s="3" t="s">
        <v>2026</v>
      </c>
    </row>
    <row r="1945" spans="1:8" ht="13.8" x14ac:dyDescent="0.25">
      <c r="A1945" s="3" t="s">
        <v>2317</v>
      </c>
      <c r="B1945" s="3" t="s">
        <v>2430</v>
      </c>
      <c r="C1945" s="4" t="str">
        <f>HYPERLINK("http://www.rncp.cncp.gouv.fr/grand-public/visualisationFiche?format=fr&amp;fiche=14927","14927")</f>
        <v>14927</v>
      </c>
      <c r="D1945" s="4" t="str">
        <f>HYPERLINK("http://www.intercariforef.org/formations/certification-56310.html","56310")</f>
        <v>56310</v>
      </c>
      <c r="E1945" s="5">
        <v>2161</v>
      </c>
      <c r="F1945" s="5" t="s">
        <v>10</v>
      </c>
      <c r="G1945" s="5" t="s">
        <v>11</v>
      </c>
      <c r="H1945" s="3" t="s">
        <v>2026</v>
      </c>
    </row>
    <row r="1946" spans="1:8" ht="13.8" x14ac:dyDescent="0.25">
      <c r="A1946" s="3" t="s">
        <v>2317</v>
      </c>
      <c r="B1946" s="3" t="s">
        <v>2431</v>
      </c>
      <c r="C1946" s="4" t="str">
        <f>HYPERLINK("http://www.rncp.cncp.gouv.fr/grand-public/visualisationFiche?format=fr&amp;fiche=1935","1935")</f>
        <v>1935</v>
      </c>
      <c r="D1946" s="4" t="str">
        <f>HYPERLINK("http://www.intercariforef.org/formations/certification-20857.html","20857")</f>
        <v>20857</v>
      </c>
      <c r="E1946" s="5">
        <v>142264</v>
      </c>
      <c r="F1946" s="5" t="s">
        <v>10</v>
      </c>
      <c r="G1946" s="5" t="s">
        <v>11</v>
      </c>
      <c r="H1946" s="3" t="s">
        <v>2026</v>
      </c>
    </row>
    <row r="1947" spans="1:8" ht="13.8" x14ac:dyDescent="0.25">
      <c r="A1947" s="3" t="s">
        <v>2317</v>
      </c>
      <c r="B1947" s="3" t="s">
        <v>2432</v>
      </c>
      <c r="C1947" s="4" t="str">
        <f>HYPERLINK("http://www.rncp.cncp.gouv.fr/grand-public/visualisationFiche?format=fr&amp;fiche=1007","1007")</f>
        <v>1007</v>
      </c>
      <c r="D1947" s="4" t="str">
        <f>HYPERLINK("http://www.intercariforef.org/formations/certification-20804.html","20804")</f>
        <v>20804</v>
      </c>
      <c r="E1947" s="5">
        <v>130752</v>
      </c>
      <c r="F1947" s="5" t="s">
        <v>10</v>
      </c>
      <c r="G1947" s="5" t="s">
        <v>11</v>
      </c>
      <c r="H1947" s="3" t="s">
        <v>81</v>
      </c>
    </row>
    <row r="1948" spans="1:8" ht="13.8" x14ac:dyDescent="0.25">
      <c r="A1948" s="3" t="s">
        <v>2317</v>
      </c>
      <c r="B1948" s="3" t="s">
        <v>2433</v>
      </c>
      <c r="C1948" s="4" t="str">
        <f>HYPERLINK("http://www.rncp.cncp.gouv.fr/grand-public/visualisationFiche?format=fr&amp;fiche=1008","1008")</f>
        <v>1008</v>
      </c>
      <c r="D1948" s="4" t="str">
        <f>HYPERLINK("http://www.intercariforef.org/formations/certification-20808.html","20808")</f>
        <v>20808</v>
      </c>
      <c r="E1948" s="5">
        <v>130828</v>
      </c>
      <c r="F1948" s="5" t="s">
        <v>10</v>
      </c>
      <c r="G1948" s="5" t="s">
        <v>11</v>
      </c>
      <c r="H1948" s="3" t="s">
        <v>81</v>
      </c>
    </row>
    <row r="1949" spans="1:8" ht="13.8" x14ac:dyDescent="0.25">
      <c r="A1949" s="3" t="s">
        <v>2317</v>
      </c>
      <c r="B1949" s="3" t="s">
        <v>2434</v>
      </c>
      <c r="C1949" s="4" t="str">
        <f>HYPERLINK("http://www.rncp.cncp.gouv.fr/grand-public/visualisationFiche?format=fr&amp;fiche=1011","1011")</f>
        <v>1011</v>
      </c>
      <c r="D1949" s="4" t="str">
        <f>HYPERLINK("http://www.intercariforef.org/formations/certification-20821.html","20821")</f>
        <v>20821</v>
      </c>
      <c r="E1949" s="5">
        <v>142263</v>
      </c>
      <c r="F1949" s="5" t="s">
        <v>10</v>
      </c>
      <c r="G1949" s="5" t="s">
        <v>11</v>
      </c>
      <c r="H1949" s="3" t="s">
        <v>81</v>
      </c>
    </row>
    <row r="1950" spans="1:8" ht="13.8" x14ac:dyDescent="0.25">
      <c r="A1950" s="3" t="s">
        <v>2317</v>
      </c>
      <c r="B1950" s="3" t="s">
        <v>2435</v>
      </c>
      <c r="C1950" s="4" t="str">
        <f>HYPERLINK("http://www.rncp.cncp.gouv.fr/grand-public/visualisationFiche?format=fr&amp;fiche=1012","1012")</f>
        <v>1012</v>
      </c>
      <c r="D1950" s="4" t="str">
        <f>HYPERLINK("http://www.intercariforef.org/formations/certification-20825.html","20825")</f>
        <v>20825</v>
      </c>
      <c r="E1950" s="5">
        <v>2162</v>
      </c>
      <c r="F1950" s="5" t="s">
        <v>10</v>
      </c>
      <c r="G1950" s="5" t="s">
        <v>11</v>
      </c>
      <c r="H1950" s="3" t="s">
        <v>81</v>
      </c>
    </row>
    <row r="1951" spans="1:8" ht="13.8" x14ac:dyDescent="0.25">
      <c r="A1951" s="3" t="s">
        <v>2317</v>
      </c>
      <c r="B1951" s="3" t="s">
        <v>2436</v>
      </c>
      <c r="C1951" s="4" t="str">
        <f>HYPERLINK("http://www.rncp.cncp.gouv.fr/grand-public/visualisationFiche?format=fr&amp;fiche=1172","1172")</f>
        <v>1172</v>
      </c>
      <c r="D1951" s="4" t="str">
        <f>HYPERLINK("http://www.intercariforef.org/formations/certification-20835.html","20835")</f>
        <v>20835</v>
      </c>
      <c r="E1951" s="5">
        <v>142265</v>
      </c>
      <c r="F1951" s="5" t="s">
        <v>10</v>
      </c>
      <c r="G1951" s="5" t="s">
        <v>11</v>
      </c>
      <c r="H1951" s="3" t="s">
        <v>81</v>
      </c>
    </row>
    <row r="1952" spans="1:8" ht="27.6" x14ac:dyDescent="0.25">
      <c r="A1952" s="3" t="s">
        <v>2317</v>
      </c>
      <c r="B1952" s="3" t="s">
        <v>2437</v>
      </c>
      <c r="C1952" s="4" t="str">
        <f>HYPERLINK("http://www.rncp.cncp.gouv.fr/grand-public/visualisationFiche?format=fr&amp;fiche=11639","11639")</f>
        <v>11639</v>
      </c>
      <c r="D1952" s="4" t="str">
        <f>HYPERLINK("http://www.intercariforef.org/formations/certification-71557.html","71557")</f>
        <v>71557</v>
      </c>
      <c r="E1952" s="5">
        <v>142266</v>
      </c>
      <c r="F1952" s="5" t="s">
        <v>10</v>
      </c>
      <c r="G1952" s="5" t="s">
        <v>11</v>
      </c>
      <c r="H1952" s="3" t="s">
        <v>1121</v>
      </c>
    </row>
    <row r="1953" spans="1:8" ht="27.6" x14ac:dyDescent="0.25">
      <c r="A1953" s="3" t="s">
        <v>2317</v>
      </c>
      <c r="B1953" s="3" t="s">
        <v>2438</v>
      </c>
      <c r="C1953" s="4" t="str">
        <f>HYPERLINK("http://www.rncp.cncp.gouv.fr/grand-public/visualisationFiche?format=fr&amp;fiche=5287","5287")</f>
        <v>5287</v>
      </c>
      <c r="D1953" s="4" t="str">
        <f>HYPERLINK("http://www.intercariforef.org/formations/certification-54995.html","54995")</f>
        <v>54995</v>
      </c>
      <c r="E1953" s="5">
        <v>161258</v>
      </c>
      <c r="F1953" s="5" t="s">
        <v>10</v>
      </c>
      <c r="G1953" s="5" t="s">
        <v>11</v>
      </c>
      <c r="H1953" s="3" t="s">
        <v>1121</v>
      </c>
    </row>
    <row r="1954" spans="1:8" ht="27.6" x14ac:dyDescent="0.25">
      <c r="A1954" s="3" t="s">
        <v>2317</v>
      </c>
      <c r="B1954" s="3" t="s">
        <v>2439</v>
      </c>
      <c r="C1954" s="4" t="str">
        <f>HYPERLINK("http://www.rncp.cncp.gouv.fr/grand-public/visualisationFiche?format=fr&amp;fiche=4384","4384")</f>
        <v>4384</v>
      </c>
      <c r="D1954" s="4" t="str">
        <f>HYPERLINK("http://www.intercariforef.org/formations/certification-53920.html","53920")</f>
        <v>53920</v>
      </c>
      <c r="E1954" s="5">
        <v>161259</v>
      </c>
      <c r="F1954" s="5" t="s">
        <v>10</v>
      </c>
      <c r="G1954" s="5" t="s">
        <v>11</v>
      </c>
      <c r="H1954" s="3" t="s">
        <v>1121</v>
      </c>
    </row>
    <row r="1955" spans="1:8" ht="27.6" x14ac:dyDescent="0.25">
      <c r="A1955" s="3" t="s">
        <v>2317</v>
      </c>
      <c r="B1955" s="3" t="s">
        <v>2440</v>
      </c>
      <c r="C1955" s="4" t="str">
        <f>HYPERLINK("http://www.rncp.cncp.gouv.fr/grand-public/visualisationFiche?format=fr&amp;fiche=22347","22347")</f>
        <v>22347</v>
      </c>
      <c r="D1955" s="4" t="str">
        <f>HYPERLINK("http://www.intercariforef.org/formations/certification-76979.html","76979")</f>
        <v>76979</v>
      </c>
      <c r="E1955" s="5">
        <v>161260</v>
      </c>
      <c r="F1955" s="5" t="s">
        <v>10</v>
      </c>
      <c r="G1955" s="5" t="s">
        <v>11</v>
      </c>
      <c r="H1955" s="3" t="s">
        <v>1121</v>
      </c>
    </row>
    <row r="1956" spans="1:8" ht="27.6" x14ac:dyDescent="0.25">
      <c r="A1956" s="3" t="s">
        <v>2317</v>
      </c>
      <c r="B1956" s="3" t="s">
        <v>2441</v>
      </c>
      <c r="C1956" s="4" t="str">
        <f>HYPERLINK("http://www.rncp.cncp.gouv.fr/grand-public/visualisationFiche?format=fr&amp;fiche=22347","22347")</f>
        <v>22347</v>
      </c>
      <c r="D1956" s="4" t="str">
        <f>HYPERLINK("http://www.intercariforef.org/formations/certification-76980.html","76980")</f>
        <v>76980</v>
      </c>
      <c r="E1956" s="5">
        <v>161261</v>
      </c>
      <c r="F1956" s="5" t="s">
        <v>10</v>
      </c>
      <c r="G1956" s="5" t="s">
        <v>11</v>
      </c>
      <c r="H1956" s="3" t="s">
        <v>1121</v>
      </c>
    </row>
    <row r="1957" spans="1:8" ht="27.6" x14ac:dyDescent="0.25">
      <c r="A1957" s="3" t="s">
        <v>2317</v>
      </c>
      <c r="B1957" s="3" t="s">
        <v>2442</v>
      </c>
      <c r="C1957" s="4" t="str">
        <f>HYPERLINK("http://www.rncp.cncp.gouv.fr/grand-public/visualisationFiche?format=fr&amp;fiche=22347","22347")</f>
        <v>22347</v>
      </c>
      <c r="D1957" s="4" t="str">
        <f>HYPERLINK("http://www.intercariforef.org/formations/certification-76981.html","76981")</f>
        <v>76981</v>
      </c>
      <c r="E1957" s="5">
        <v>161262</v>
      </c>
      <c r="F1957" s="5" t="s">
        <v>10</v>
      </c>
      <c r="G1957" s="5" t="s">
        <v>11</v>
      </c>
      <c r="H1957" s="3" t="s">
        <v>1121</v>
      </c>
    </row>
    <row r="1958" spans="1:8" ht="27.6" x14ac:dyDescent="0.25">
      <c r="A1958" s="3" t="s">
        <v>2317</v>
      </c>
      <c r="B1958" s="3" t="s">
        <v>2443</v>
      </c>
      <c r="C1958" s="4" t="str">
        <f>HYPERLINK("http://www.rncp.cncp.gouv.fr/grand-public/visualisationFiche?format=fr&amp;fiche=3140","3140")</f>
        <v>3140</v>
      </c>
      <c r="D1958" s="4" t="str">
        <f>HYPERLINK("http://www.intercariforef.org/formations/certification-55741.html","55741")</f>
        <v>55741</v>
      </c>
      <c r="E1958" s="5">
        <v>161263</v>
      </c>
      <c r="F1958" s="5" t="s">
        <v>10</v>
      </c>
      <c r="G1958" s="5" t="s">
        <v>11</v>
      </c>
      <c r="H1958" s="3" t="s">
        <v>1121</v>
      </c>
    </row>
    <row r="1959" spans="1:8" ht="27.6" x14ac:dyDescent="0.25">
      <c r="A1959" s="3" t="s">
        <v>2317</v>
      </c>
      <c r="B1959" s="3" t="s">
        <v>2444</v>
      </c>
      <c r="C1959" s="4" t="str">
        <f>HYPERLINK("http://www.rncp.cncp.gouv.fr/grand-public/visualisationFiche?format=fr&amp;fiche=3140","3140")</f>
        <v>3140</v>
      </c>
      <c r="D1959" s="4" t="str">
        <f>HYPERLINK("http://www.intercariforef.org/formations/certification-55738.html","55738")</f>
        <v>55738</v>
      </c>
      <c r="E1959" s="5">
        <v>161264</v>
      </c>
      <c r="F1959" s="5" t="s">
        <v>10</v>
      </c>
      <c r="G1959" s="5" t="s">
        <v>11</v>
      </c>
      <c r="H1959" s="3" t="s">
        <v>1121</v>
      </c>
    </row>
    <row r="1960" spans="1:8" ht="27.6" x14ac:dyDescent="0.25">
      <c r="A1960" s="3" t="s">
        <v>2317</v>
      </c>
      <c r="B1960" s="3" t="s">
        <v>2445</v>
      </c>
      <c r="C1960" s="4" t="str">
        <f>HYPERLINK("http://www.rncp.cncp.gouv.fr/grand-public/visualisationFiche?format=fr&amp;fiche=3140","3140")</f>
        <v>3140</v>
      </c>
      <c r="D1960" s="4" t="str">
        <f>HYPERLINK("http://www.intercariforef.org/formations/certification-55740.html","55740")</f>
        <v>55740</v>
      </c>
      <c r="E1960" s="5">
        <v>161266</v>
      </c>
      <c r="F1960" s="5" t="s">
        <v>10</v>
      </c>
      <c r="G1960" s="5" t="s">
        <v>11</v>
      </c>
      <c r="H1960" s="3" t="s">
        <v>1121</v>
      </c>
    </row>
    <row r="1961" spans="1:8" ht="27.6" x14ac:dyDescent="0.25">
      <c r="A1961" s="3" t="s">
        <v>2317</v>
      </c>
      <c r="B1961" s="3" t="s">
        <v>2446</v>
      </c>
      <c r="C1961" s="4" t="str">
        <f>HYPERLINK("http://www.rncp.cncp.gouv.fr/grand-public/visualisationFiche?format=fr&amp;fiche=3140","3140")</f>
        <v>3140</v>
      </c>
      <c r="D1961" s="4" t="str">
        <f>HYPERLINK("http://www.intercariforef.org/formations/certification-55739.html","55739")</f>
        <v>55739</v>
      </c>
      <c r="E1961" s="5">
        <v>161265</v>
      </c>
      <c r="F1961" s="5" t="s">
        <v>10</v>
      </c>
      <c r="G1961" s="5" t="s">
        <v>11</v>
      </c>
      <c r="H1961" s="3" t="s">
        <v>1121</v>
      </c>
    </row>
    <row r="1962" spans="1:8" ht="27.6" x14ac:dyDescent="0.25">
      <c r="A1962" s="3" t="s">
        <v>2317</v>
      </c>
      <c r="B1962" s="3" t="s">
        <v>2447</v>
      </c>
      <c r="C1962" s="4" t="str">
        <f t="shared" ref="C1962:C1982" si="2">HYPERLINK("http://www.rncp.cncp.gouv.fr/grand-public/visualisationFiche?format=fr&amp;fiche=1964","1964")</f>
        <v>1964</v>
      </c>
      <c r="D1962" s="4" t="str">
        <f>HYPERLINK("http://www.intercariforef.org/formations/certification-55759.html","55759")</f>
        <v>55759</v>
      </c>
      <c r="E1962" s="5">
        <v>161269</v>
      </c>
      <c r="F1962" s="5" t="s">
        <v>10</v>
      </c>
      <c r="G1962" s="5" t="s">
        <v>11</v>
      </c>
      <c r="H1962" s="3" t="s">
        <v>1121</v>
      </c>
    </row>
    <row r="1963" spans="1:8" ht="27.6" x14ac:dyDescent="0.25">
      <c r="A1963" s="3" t="s">
        <v>2317</v>
      </c>
      <c r="B1963" s="3" t="s">
        <v>2448</v>
      </c>
      <c r="C1963" s="4" t="str">
        <f t="shared" si="2"/>
        <v>1964</v>
      </c>
      <c r="D1963" s="4" t="str">
        <f>HYPERLINK("http://www.intercariforef.org/formations/certification-55742.html","55742")</f>
        <v>55742</v>
      </c>
      <c r="E1963" s="5">
        <v>161267</v>
      </c>
      <c r="F1963" s="5" t="s">
        <v>10</v>
      </c>
      <c r="G1963" s="5" t="s">
        <v>11</v>
      </c>
      <c r="H1963" s="3" t="s">
        <v>1121</v>
      </c>
    </row>
    <row r="1964" spans="1:8" ht="27.6" x14ac:dyDescent="0.25">
      <c r="A1964" s="3" t="s">
        <v>2317</v>
      </c>
      <c r="B1964" s="3" t="s">
        <v>2449</v>
      </c>
      <c r="C1964" s="4" t="str">
        <f t="shared" si="2"/>
        <v>1964</v>
      </c>
      <c r="D1964" s="4" t="str">
        <f>HYPERLINK("http://www.intercariforef.org/formations/certification-55750.html","55750")</f>
        <v>55750</v>
      </c>
      <c r="E1964" s="5">
        <v>161278</v>
      </c>
      <c r="F1964" s="5" t="s">
        <v>10</v>
      </c>
      <c r="G1964" s="5" t="s">
        <v>11</v>
      </c>
      <c r="H1964" s="3" t="s">
        <v>1121</v>
      </c>
    </row>
    <row r="1965" spans="1:8" ht="27.6" x14ac:dyDescent="0.25">
      <c r="A1965" s="3" t="s">
        <v>2317</v>
      </c>
      <c r="B1965" s="3" t="s">
        <v>2450</v>
      </c>
      <c r="C1965" s="4" t="str">
        <f t="shared" si="2"/>
        <v>1964</v>
      </c>
      <c r="D1965" s="4" t="str">
        <f>HYPERLINK("http://www.intercariforef.org/formations/certification-55752.html","55752")</f>
        <v>55752</v>
      </c>
      <c r="E1965" s="5">
        <v>161282</v>
      </c>
      <c r="F1965" s="5" t="s">
        <v>10</v>
      </c>
      <c r="G1965" s="5" t="s">
        <v>11</v>
      </c>
      <c r="H1965" s="3" t="s">
        <v>1121</v>
      </c>
    </row>
    <row r="1966" spans="1:8" ht="27.6" x14ac:dyDescent="0.25">
      <c r="A1966" s="3" t="s">
        <v>2317</v>
      </c>
      <c r="B1966" s="3" t="s">
        <v>2451</v>
      </c>
      <c r="C1966" s="4" t="str">
        <f t="shared" si="2"/>
        <v>1964</v>
      </c>
      <c r="D1966" s="4" t="str">
        <f>HYPERLINK("http://www.intercariforef.org/formations/certification-55758.html","55758")</f>
        <v>55758</v>
      </c>
      <c r="E1966" s="5">
        <v>161277</v>
      </c>
      <c r="F1966" s="5" t="s">
        <v>10</v>
      </c>
      <c r="G1966" s="5" t="s">
        <v>11</v>
      </c>
      <c r="H1966" s="3" t="s">
        <v>1121</v>
      </c>
    </row>
    <row r="1967" spans="1:8" ht="27.6" x14ac:dyDescent="0.25">
      <c r="A1967" s="3" t="s">
        <v>2317</v>
      </c>
      <c r="B1967" s="3" t="s">
        <v>2452</v>
      </c>
      <c r="C1967" s="4" t="str">
        <f t="shared" si="2"/>
        <v>1964</v>
      </c>
      <c r="D1967" s="4" t="str">
        <f>HYPERLINK("http://www.intercariforef.org/formations/certification-55748.html","55748")</f>
        <v>55748</v>
      </c>
      <c r="E1967" s="5">
        <v>161271</v>
      </c>
      <c r="F1967" s="5" t="s">
        <v>10</v>
      </c>
      <c r="G1967" s="5" t="s">
        <v>11</v>
      </c>
      <c r="H1967" s="3" t="s">
        <v>1121</v>
      </c>
    </row>
    <row r="1968" spans="1:8" ht="27.6" x14ac:dyDescent="0.25">
      <c r="A1968" s="3" t="s">
        <v>2317</v>
      </c>
      <c r="B1968" s="3" t="s">
        <v>2453</v>
      </c>
      <c r="C1968" s="4" t="str">
        <f t="shared" si="2"/>
        <v>1964</v>
      </c>
      <c r="D1968" s="4" t="str">
        <f>HYPERLINK("http://www.intercariforef.org/formations/certification-55757.html","55757")</f>
        <v>55757</v>
      </c>
      <c r="E1968" s="5">
        <v>161276</v>
      </c>
      <c r="F1968" s="5" t="s">
        <v>10</v>
      </c>
      <c r="G1968" s="5" t="s">
        <v>11</v>
      </c>
      <c r="H1968" s="3" t="s">
        <v>1121</v>
      </c>
    </row>
    <row r="1969" spans="1:8" ht="27.6" x14ac:dyDescent="0.25">
      <c r="A1969" s="3" t="s">
        <v>2317</v>
      </c>
      <c r="B1969" s="3" t="s">
        <v>2454</v>
      </c>
      <c r="C1969" s="4" t="str">
        <f t="shared" si="2"/>
        <v>1964</v>
      </c>
      <c r="D1969" s="4" t="str">
        <f>HYPERLINK("http://www.intercariforef.org/formations/certification-55744.html","55744")</f>
        <v>55744</v>
      </c>
      <c r="E1969" s="5">
        <v>161279</v>
      </c>
      <c r="F1969" s="5" t="s">
        <v>10</v>
      </c>
      <c r="G1969" s="5" t="s">
        <v>11</v>
      </c>
      <c r="H1969" s="3" t="s">
        <v>1121</v>
      </c>
    </row>
    <row r="1970" spans="1:8" ht="27.6" x14ac:dyDescent="0.25">
      <c r="A1970" s="3" t="s">
        <v>2317</v>
      </c>
      <c r="B1970" s="3" t="s">
        <v>2455</v>
      </c>
      <c r="C1970" s="4" t="str">
        <f t="shared" si="2"/>
        <v>1964</v>
      </c>
      <c r="D1970" s="4" t="str">
        <f>HYPERLINK("http://www.intercariforef.org/formations/certification-55743.html","55743")</f>
        <v>55743</v>
      </c>
      <c r="E1970" s="5">
        <v>161268</v>
      </c>
      <c r="F1970" s="5" t="s">
        <v>10</v>
      </c>
      <c r="G1970" s="5" t="s">
        <v>11</v>
      </c>
      <c r="H1970" s="3" t="s">
        <v>1121</v>
      </c>
    </row>
    <row r="1971" spans="1:8" ht="27.6" x14ac:dyDescent="0.25">
      <c r="A1971" s="3" t="s">
        <v>2317</v>
      </c>
      <c r="B1971" s="3" t="s">
        <v>2456</v>
      </c>
      <c r="C1971" s="4" t="str">
        <f t="shared" si="2"/>
        <v>1964</v>
      </c>
      <c r="D1971" s="4" t="str">
        <f>HYPERLINK("http://www.intercariforef.org/formations/certification-55749.html","55749")</f>
        <v>55749</v>
      </c>
      <c r="E1971" s="5">
        <v>161273</v>
      </c>
      <c r="F1971" s="5" t="s">
        <v>10</v>
      </c>
      <c r="G1971" s="5" t="s">
        <v>11</v>
      </c>
      <c r="H1971" s="3" t="s">
        <v>1121</v>
      </c>
    </row>
    <row r="1972" spans="1:8" ht="27.6" x14ac:dyDescent="0.25">
      <c r="A1972" s="3" t="s">
        <v>2317</v>
      </c>
      <c r="B1972" s="3" t="s">
        <v>2457</v>
      </c>
      <c r="C1972" s="4" t="str">
        <f t="shared" si="2"/>
        <v>1964</v>
      </c>
      <c r="D1972" s="4" t="str">
        <f>HYPERLINK("http://www.intercariforef.org/formations/certification-55753.html","55753")</f>
        <v>55753</v>
      </c>
      <c r="E1972" s="5">
        <v>161284</v>
      </c>
      <c r="F1972" s="5" t="s">
        <v>10</v>
      </c>
      <c r="G1972" s="5" t="s">
        <v>11</v>
      </c>
      <c r="H1972" s="3" t="s">
        <v>1121</v>
      </c>
    </row>
    <row r="1973" spans="1:8" ht="27.6" x14ac:dyDescent="0.25">
      <c r="A1973" s="3" t="s">
        <v>2317</v>
      </c>
      <c r="B1973" s="3" t="s">
        <v>2458</v>
      </c>
      <c r="C1973" s="4" t="str">
        <f t="shared" si="2"/>
        <v>1964</v>
      </c>
      <c r="D1973" s="4" t="str">
        <f>HYPERLINK("http://www.intercariforef.org/formations/certification-55760.html","55760")</f>
        <v>55760</v>
      </c>
      <c r="E1973" s="5">
        <v>161270</v>
      </c>
      <c r="F1973" s="5" t="s">
        <v>10</v>
      </c>
      <c r="G1973" s="5" t="s">
        <v>11</v>
      </c>
      <c r="H1973" s="3" t="s">
        <v>1121</v>
      </c>
    </row>
    <row r="1974" spans="1:8" ht="27.6" x14ac:dyDescent="0.25">
      <c r="A1974" s="3" t="s">
        <v>2317</v>
      </c>
      <c r="B1974" s="3" t="s">
        <v>2459</v>
      </c>
      <c r="C1974" s="4" t="str">
        <f t="shared" si="2"/>
        <v>1964</v>
      </c>
      <c r="D1974" s="4" t="str">
        <f>HYPERLINK("http://www.intercariforef.org/formations/certification-55747.html","55747")</f>
        <v>55747</v>
      </c>
      <c r="E1974" s="5">
        <v>161285</v>
      </c>
      <c r="F1974" s="5" t="s">
        <v>10</v>
      </c>
      <c r="G1974" s="5" t="s">
        <v>11</v>
      </c>
      <c r="H1974" s="3" t="s">
        <v>1121</v>
      </c>
    </row>
    <row r="1975" spans="1:8" ht="27.6" x14ac:dyDescent="0.25">
      <c r="A1975" s="3" t="s">
        <v>2317</v>
      </c>
      <c r="B1975" s="3" t="s">
        <v>2460</v>
      </c>
      <c r="C1975" s="4" t="str">
        <f t="shared" si="2"/>
        <v>1964</v>
      </c>
      <c r="D1975" s="4" t="str">
        <f>HYPERLINK("http://www.intercariforef.org/formations/certification-55746.html","55746")</f>
        <v>55746</v>
      </c>
      <c r="E1975" s="5">
        <v>161283</v>
      </c>
      <c r="F1975" s="5" t="s">
        <v>10</v>
      </c>
      <c r="G1975" s="5" t="s">
        <v>11</v>
      </c>
      <c r="H1975" s="3" t="s">
        <v>1121</v>
      </c>
    </row>
    <row r="1976" spans="1:8" ht="27.6" x14ac:dyDescent="0.25">
      <c r="A1976" s="3" t="s">
        <v>2317</v>
      </c>
      <c r="B1976" s="3" t="s">
        <v>2461</v>
      </c>
      <c r="C1976" s="4" t="str">
        <f t="shared" si="2"/>
        <v>1964</v>
      </c>
      <c r="D1976" s="4" t="str">
        <f>HYPERLINK("http://www.intercariforef.org/formations/certification-55745.html","55745")</f>
        <v>55745</v>
      </c>
      <c r="E1976" s="5">
        <v>161281</v>
      </c>
      <c r="F1976" s="5" t="s">
        <v>10</v>
      </c>
      <c r="G1976" s="5" t="s">
        <v>11</v>
      </c>
      <c r="H1976" s="3" t="s">
        <v>1121</v>
      </c>
    </row>
    <row r="1977" spans="1:8" ht="27.6" x14ac:dyDescent="0.25">
      <c r="A1977" s="3" t="s">
        <v>2317</v>
      </c>
      <c r="B1977" s="3" t="s">
        <v>2462</v>
      </c>
      <c r="C1977" s="4" t="str">
        <f t="shared" si="2"/>
        <v>1964</v>
      </c>
      <c r="D1977" s="4" t="str">
        <f>HYPERLINK("http://www.intercariforef.org/formations/certification-57673.html","57673")</f>
        <v>57673</v>
      </c>
      <c r="E1977" s="5">
        <v>161287</v>
      </c>
      <c r="F1977" s="5" t="s">
        <v>10</v>
      </c>
      <c r="G1977" s="5" t="s">
        <v>11</v>
      </c>
      <c r="H1977" s="3" t="s">
        <v>1121</v>
      </c>
    </row>
    <row r="1978" spans="1:8" ht="27.6" x14ac:dyDescent="0.25">
      <c r="A1978" s="3" t="s">
        <v>2317</v>
      </c>
      <c r="B1978" s="3" t="s">
        <v>2463</v>
      </c>
      <c r="C1978" s="4" t="str">
        <f t="shared" si="2"/>
        <v>1964</v>
      </c>
      <c r="D1978" s="4" t="str">
        <f>HYPERLINK("http://www.intercariforef.org/formations/certification-55761.html","55761")</f>
        <v>55761</v>
      </c>
      <c r="E1978" s="5">
        <v>161272</v>
      </c>
      <c r="F1978" s="5" t="s">
        <v>10</v>
      </c>
      <c r="G1978" s="5" t="s">
        <v>11</v>
      </c>
      <c r="H1978" s="3" t="s">
        <v>1121</v>
      </c>
    </row>
    <row r="1979" spans="1:8" ht="27.6" x14ac:dyDescent="0.25">
      <c r="A1979" s="3" t="s">
        <v>2317</v>
      </c>
      <c r="B1979" s="3" t="s">
        <v>2464</v>
      </c>
      <c r="C1979" s="4" t="str">
        <f t="shared" si="2"/>
        <v>1964</v>
      </c>
      <c r="D1979" s="4" t="str">
        <f>HYPERLINK("http://www.intercariforef.org/formations/certification-55755.html","55755")</f>
        <v>55755</v>
      </c>
      <c r="E1979" s="5">
        <v>161274</v>
      </c>
      <c r="F1979" s="5" t="s">
        <v>10</v>
      </c>
      <c r="G1979" s="5" t="s">
        <v>11</v>
      </c>
      <c r="H1979" s="3" t="s">
        <v>1121</v>
      </c>
    </row>
    <row r="1980" spans="1:8" ht="27.6" x14ac:dyDescent="0.25">
      <c r="A1980" s="3" t="s">
        <v>2317</v>
      </c>
      <c r="B1980" s="3" t="s">
        <v>2465</v>
      </c>
      <c r="C1980" s="4" t="str">
        <f t="shared" si="2"/>
        <v>1964</v>
      </c>
      <c r="D1980" s="4" t="str">
        <f>HYPERLINK("http://www.intercariforef.org/formations/certification-55754.html","55754")</f>
        <v>55754</v>
      </c>
      <c r="E1980" s="5">
        <v>161286</v>
      </c>
      <c r="F1980" s="5" t="s">
        <v>10</v>
      </c>
      <c r="G1980" s="5" t="s">
        <v>11</v>
      </c>
      <c r="H1980" s="3" t="s">
        <v>1121</v>
      </c>
    </row>
    <row r="1981" spans="1:8" ht="27.6" x14ac:dyDescent="0.25">
      <c r="A1981" s="3" t="s">
        <v>2317</v>
      </c>
      <c r="B1981" s="3" t="s">
        <v>2466</v>
      </c>
      <c r="C1981" s="4" t="str">
        <f t="shared" si="2"/>
        <v>1964</v>
      </c>
      <c r="D1981" s="4" t="str">
        <f>HYPERLINK("http://www.intercariforef.org/formations/certification-55751.html","55751")</f>
        <v>55751</v>
      </c>
      <c r="E1981" s="5">
        <v>161280</v>
      </c>
      <c r="F1981" s="5" t="s">
        <v>10</v>
      </c>
      <c r="G1981" s="5" t="s">
        <v>11</v>
      </c>
      <c r="H1981" s="3" t="s">
        <v>1121</v>
      </c>
    </row>
    <row r="1982" spans="1:8" ht="27.6" x14ac:dyDescent="0.25">
      <c r="A1982" s="3" t="s">
        <v>2317</v>
      </c>
      <c r="B1982" s="3" t="s">
        <v>2467</v>
      </c>
      <c r="C1982" s="4" t="str">
        <f t="shared" si="2"/>
        <v>1964</v>
      </c>
      <c r="D1982" s="4" t="str">
        <f>HYPERLINK("http://www.intercariforef.org/formations/certification-55756.html","55756")</f>
        <v>55756</v>
      </c>
      <c r="E1982" s="5">
        <v>161275</v>
      </c>
      <c r="F1982" s="5" t="s">
        <v>10</v>
      </c>
      <c r="G1982" s="5" t="s">
        <v>11</v>
      </c>
      <c r="H1982" s="3" t="s">
        <v>1121</v>
      </c>
    </row>
    <row r="1983" spans="1:8" ht="27.6" x14ac:dyDescent="0.25">
      <c r="A1983" s="3" t="s">
        <v>2317</v>
      </c>
      <c r="B1983" s="3" t="s">
        <v>2468</v>
      </c>
      <c r="C1983" s="4" t="str">
        <f>HYPERLINK("http://www.rncp.cncp.gouv.fr/grand-public/visualisationFiche?format=fr&amp;fiche=1967","1967")</f>
        <v>1967</v>
      </c>
      <c r="D1983" s="4" t="str">
        <f>HYPERLINK("http://www.intercariforef.org/formations/certification-23774.html","23774")</f>
        <v>23774</v>
      </c>
      <c r="E1983" s="5">
        <v>161288</v>
      </c>
      <c r="F1983" s="5" t="s">
        <v>10</v>
      </c>
      <c r="G1983" s="5" t="s">
        <v>11</v>
      </c>
      <c r="H1983" s="3" t="s">
        <v>1121</v>
      </c>
    </row>
    <row r="1984" spans="1:8" ht="27.6" x14ac:dyDescent="0.25">
      <c r="A1984" s="3" t="s">
        <v>2317</v>
      </c>
      <c r="B1984" s="3" t="s">
        <v>2469</v>
      </c>
      <c r="C1984" s="4" t="str">
        <f>HYPERLINK("http://www.rncp.cncp.gouv.fr/grand-public/visualisationFiche?format=fr&amp;fiche=1969","1969")</f>
        <v>1969</v>
      </c>
      <c r="D1984" s="4" t="str">
        <f>HYPERLINK("http://www.intercariforef.org/formations/certification-55764.html","55764")</f>
        <v>55764</v>
      </c>
      <c r="E1984" s="5">
        <v>161289</v>
      </c>
      <c r="F1984" s="5" t="s">
        <v>10</v>
      </c>
      <c r="G1984" s="5" t="s">
        <v>11</v>
      </c>
      <c r="H1984" s="3" t="s">
        <v>1121</v>
      </c>
    </row>
    <row r="1985" spans="1:8" ht="27.6" x14ac:dyDescent="0.25">
      <c r="A1985" s="3" t="s">
        <v>2317</v>
      </c>
      <c r="B1985" s="3" t="s">
        <v>2470</v>
      </c>
      <c r="C1985" s="4" t="str">
        <f>HYPERLINK("http://www.rncp.cncp.gouv.fr/grand-public/visualisationFiche?format=fr&amp;fiche=1969","1969")</f>
        <v>1969</v>
      </c>
      <c r="D1985" s="4" t="str">
        <f>HYPERLINK("http://www.intercariforef.org/formations/certification-76948.html","76948")</f>
        <v>76948</v>
      </c>
      <c r="E1985" s="5">
        <v>161290</v>
      </c>
      <c r="F1985" s="5" t="s">
        <v>10</v>
      </c>
      <c r="G1985" s="5" t="s">
        <v>11</v>
      </c>
      <c r="H1985" s="3" t="s">
        <v>1121</v>
      </c>
    </row>
    <row r="1986" spans="1:8" ht="27.6" x14ac:dyDescent="0.25">
      <c r="A1986" s="3" t="s">
        <v>2317</v>
      </c>
      <c r="B1986" s="3" t="s">
        <v>2471</v>
      </c>
      <c r="C1986" s="4" t="str">
        <f>HYPERLINK("http://www.rncp.cncp.gouv.fr/grand-public/visualisationFiche?format=fr&amp;fiche=1969","1969")</f>
        <v>1969</v>
      </c>
      <c r="D1986" s="4" t="str">
        <f>HYPERLINK("http://www.intercariforef.org/formations/certification-76949.html","76949")</f>
        <v>76949</v>
      </c>
      <c r="E1986" s="5">
        <v>161291</v>
      </c>
      <c r="F1986" s="5" t="s">
        <v>10</v>
      </c>
      <c r="G1986" s="5" t="s">
        <v>11</v>
      </c>
      <c r="H1986" s="3" t="s">
        <v>1121</v>
      </c>
    </row>
    <row r="1987" spans="1:8" ht="27.6" x14ac:dyDescent="0.25">
      <c r="A1987" s="3" t="s">
        <v>2317</v>
      </c>
      <c r="B1987" s="3" t="s">
        <v>2472</v>
      </c>
      <c r="C1987" s="4" t="str">
        <f t="shared" ref="C1987:C1993" si="3">HYPERLINK("http://www.rncp.cncp.gouv.fr/grand-public/visualisationFiche?format=fr&amp;fiche=4521","4521")</f>
        <v>4521</v>
      </c>
      <c r="D1987" s="4" t="str">
        <f>HYPERLINK("http://www.intercariforef.org/formations/certification-52603.html","52603")</f>
        <v>52603</v>
      </c>
      <c r="E1987" s="5">
        <v>161292</v>
      </c>
      <c r="F1987" s="5" t="s">
        <v>10</v>
      </c>
      <c r="G1987" s="5" t="s">
        <v>11</v>
      </c>
      <c r="H1987" s="3" t="s">
        <v>1121</v>
      </c>
    </row>
    <row r="1988" spans="1:8" ht="27.6" x14ac:dyDescent="0.25">
      <c r="A1988" s="3" t="s">
        <v>2317</v>
      </c>
      <c r="B1988" s="3" t="s">
        <v>2473</v>
      </c>
      <c r="C1988" s="4" t="str">
        <f t="shared" si="3"/>
        <v>4521</v>
      </c>
      <c r="D1988" s="4" t="str">
        <f>HYPERLINK("http://www.intercariforef.org/formations/certification-61204.html","61204")</f>
        <v>61204</v>
      </c>
      <c r="E1988" s="5">
        <v>161297</v>
      </c>
      <c r="F1988" s="5" t="s">
        <v>10</v>
      </c>
      <c r="G1988" s="5" t="s">
        <v>11</v>
      </c>
      <c r="H1988" s="3" t="s">
        <v>1121</v>
      </c>
    </row>
    <row r="1989" spans="1:8" ht="27.6" x14ac:dyDescent="0.25">
      <c r="A1989" s="3" t="s">
        <v>2317</v>
      </c>
      <c r="B1989" s="3" t="s">
        <v>2474</v>
      </c>
      <c r="C1989" s="4" t="str">
        <f t="shared" si="3"/>
        <v>4521</v>
      </c>
      <c r="D1989" s="4" t="str">
        <f>HYPERLINK("http://www.intercariforef.org/formations/certification-61205.html","61205")</f>
        <v>61205</v>
      </c>
      <c r="E1989" s="5">
        <v>161293</v>
      </c>
      <c r="F1989" s="5" t="s">
        <v>10</v>
      </c>
      <c r="G1989" s="5" t="s">
        <v>11</v>
      </c>
      <c r="H1989" s="3" t="s">
        <v>1121</v>
      </c>
    </row>
    <row r="1990" spans="1:8" ht="27.6" x14ac:dyDescent="0.25">
      <c r="A1990" s="3" t="s">
        <v>2317</v>
      </c>
      <c r="B1990" s="3" t="s">
        <v>2475</v>
      </c>
      <c r="C1990" s="4" t="str">
        <f t="shared" si="3"/>
        <v>4521</v>
      </c>
      <c r="D1990" s="4" t="str">
        <f>HYPERLINK("http://www.intercariforef.org/formations/certification-81172.html","81172")</f>
        <v>81172</v>
      </c>
      <c r="E1990" s="5">
        <v>161298</v>
      </c>
      <c r="F1990" s="5" t="s">
        <v>10</v>
      </c>
      <c r="G1990" s="5" t="s">
        <v>11</v>
      </c>
      <c r="H1990" s="3" t="s">
        <v>1121</v>
      </c>
    </row>
    <row r="1991" spans="1:8" ht="27.6" x14ac:dyDescent="0.25">
      <c r="A1991" s="3" t="s">
        <v>2317</v>
      </c>
      <c r="B1991" s="3" t="s">
        <v>2476</v>
      </c>
      <c r="C1991" s="4" t="str">
        <f t="shared" si="3"/>
        <v>4521</v>
      </c>
      <c r="D1991" s="4" t="str">
        <f>HYPERLINK("http://www.intercariforef.org/formations/certification-61207.html","61207")</f>
        <v>61207</v>
      </c>
      <c r="E1991" s="5">
        <v>161294</v>
      </c>
      <c r="F1991" s="5" t="s">
        <v>10</v>
      </c>
      <c r="G1991" s="5" t="s">
        <v>11</v>
      </c>
      <c r="H1991" s="3" t="s">
        <v>1121</v>
      </c>
    </row>
    <row r="1992" spans="1:8" ht="27.6" x14ac:dyDescent="0.25">
      <c r="A1992" s="3" t="s">
        <v>2317</v>
      </c>
      <c r="B1992" s="3" t="s">
        <v>2477</v>
      </c>
      <c r="C1992" s="4" t="str">
        <f t="shared" si="3"/>
        <v>4521</v>
      </c>
      <c r="D1992" s="4" t="str">
        <f>HYPERLINK("http://www.intercariforef.org/formations/certification-61208.html","61208")</f>
        <v>61208</v>
      </c>
      <c r="E1992" s="5">
        <v>161295</v>
      </c>
      <c r="F1992" s="5" t="s">
        <v>10</v>
      </c>
      <c r="G1992" s="5" t="s">
        <v>11</v>
      </c>
      <c r="H1992" s="3" t="s">
        <v>1121</v>
      </c>
    </row>
    <row r="1993" spans="1:8" ht="27.6" x14ac:dyDescent="0.25">
      <c r="A1993" s="3" t="s">
        <v>2317</v>
      </c>
      <c r="B1993" s="3" t="s">
        <v>2478</v>
      </c>
      <c r="C1993" s="4" t="str">
        <f t="shared" si="3"/>
        <v>4521</v>
      </c>
      <c r="D1993" s="4" t="str">
        <f>HYPERLINK("http://www.intercariforef.org/formations/certification-61209.html","61209")</f>
        <v>61209</v>
      </c>
      <c r="E1993" s="5">
        <v>161296</v>
      </c>
      <c r="F1993" s="5" t="s">
        <v>10</v>
      </c>
      <c r="G1993" s="5" t="s">
        <v>11</v>
      </c>
      <c r="H1993" s="3" t="s">
        <v>1121</v>
      </c>
    </row>
    <row r="1994" spans="1:8" ht="27.6" x14ac:dyDescent="0.25">
      <c r="A1994" s="3" t="s">
        <v>2317</v>
      </c>
      <c r="B1994" s="3" t="s">
        <v>2479</v>
      </c>
      <c r="C1994" s="4" t="str">
        <f>HYPERLINK("http://www.rncp.cncp.gouv.fr/grand-public/visualisationFiche?format=fr&amp;fiche=2459","2459")</f>
        <v>2459</v>
      </c>
      <c r="D1994" s="4" t="str">
        <f>HYPERLINK("http://www.intercariforef.org/formations/certification-23785.html","23785")</f>
        <v>23785</v>
      </c>
      <c r="E1994" s="5">
        <v>161256</v>
      </c>
      <c r="F1994" s="5" t="s">
        <v>10</v>
      </c>
      <c r="G1994" s="5" t="s">
        <v>11</v>
      </c>
      <c r="H1994" s="3" t="s">
        <v>1121</v>
      </c>
    </row>
    <row r="1995" spans="1:8" ht="27.6" x14ac:dyDescent="0.25">
      <c r="A1995" s="3" t="s">
        <v>2317</v>
      </c>
      <c r="B1995" s="3" t="s">
        <v>2480</v>
      </c>
      <c r="C1995" s="4" t="str">
        <f>HYPERLINK("http://www.rncp.cncp.gouv.fr/grand-public/visualisationFiche?format=fr&amp;fiche=4383","4383")</f>
        <v>4383</v>
      </c>
      <c r="D1995" s="4" t="str">
        <f>HYPERLINK("http://www.intercariforef.org/formations/certification-49865.html","49865")</f>
        <v>49865</v>
      </c>
      <c r="E1995" s="5">
        <v>161255</v>
      </c>
      <c r="F1995" s="5" t="s">
        <v>10</v>
      </c>
      <c r="G1995" s="5" t="s">
        <v>11</v>
      </c>
      <c r="H1995" s="3" t="s">
        <v>1121</v>
      </c>
    </row>
    <row r="1996" spans="1:8" ht="27.6" x14ac:dyDescent="0.25">
      <c r="A1996" s="3" t="s">
        <v>2317</v>
      </c>
      <c r="B1996" s="3" t="s">
        <v>2481</v>
      </c>
      <c r="C1996" s="4" t="str">
        <f>HYPERLINK("http://www.rncp.cncp.gouv.fr/grand-public/visualisationFiche?format=fr&amp;fiche=14063","14063")</f>
        <v>14063</v>
      </c>
      <c r="D1996" s="4" t="str">
        <f>HYPERLINK("http://www.intercariforef.org/formations/certification-75945.html","75945")</f>
        <v>75945</v>
      </c>
      <c r="E1996" s="5">
        <v>161254</v>
      </c>
      <c r="F1996" s="5" t="s">
        <v>10</v>
      </c>
      <c r="G1996" s="5" t="s">
        <v>11</v>
      </c>
      <c r="H1996" s="3" t="s">
        <v>1121</v>
      </c>
    </row>
    <row r="1997" spans="1:8" ht="27.6" x14ac:dyDescent="0.25">
      <c r="A1997" s="3" t="s">
        <v>2317</v>
      </c>
      <c r="B1997" s="3" t="s">
        <v>2482</v>
      </c>
      <c r="C1997" s="4" t="str">
        <f>HYPERLINK("http://www.rncp.cncp.gouv.fr/grand-public/visualisationFiche?format=fr&amp;fiche=1970","1970")</f>
        <v>1970</v>
      </c>
      <c r="D1997" s="4" t="str">
        <f>HYPERLINK("http://www.intercariforef.org/formations/certification-20661.html","20661")</f>
        <v>20661</v>
      </c>
      <c r="E1997" s="5">
        <v>142267</v>
      </c>
      <c r="F1997" s="5" t="s">
        <v>10</v>
      </c>
      <c r="G1997" s="5" t="s">
        <v>11</v>
      </c>
      <c r="H1997" s="3" t="s">
        <v>1121</v>
      </c>
    </row>
    <row r="1998" spans="1:8" ht="27.6" x14ac:dyDescent="0.25">
      <c r="A1998" s="3" t="s">
        <v>2317</v>
      </c>
      <c r="B1998" s="3" t="s">
        <v>2483</v>
      </c>
      <c r="C1998" s="4" t="str">
        <f>HYPERLINK("http://www.rncp.cncp.gouv.fr/grand-public/visualisationFiche?format=fr&amp;fiche=2011","2011")</f>
        <v>2011</v>
      </c>
      <c r="D1998" s="4" t="str">
        <f>HYPERLINK("http://www.intercariforef.org/formations/certification-23777.html","23777")</f>
        <v>23777</v>
      </c>
      <c r="E1998" s="5">
        <v>154993</v>
      </c>
      <c r="F1998" s="5" t="s">
        <v>10</v>
      </c>
      <c r="G1998" s="5" t="s">
        <v>11</v>
      </c>
      <c r="H1998" s="3" t="s">
        <v>1121</v>
      </c>
    </row>
    <row r="1999" spans="1:8" ht="27.6" x14ac:dyDescent="0.25">
      <c r="A1999" s="3" t="s">
        <v>2317</v>
      </c>
      <c r="B1999" s="3" t="s">
        <v>2484</v>
      </c>
      <c r="C1999" s="4" t="str">
        <f>HYPERLINK("http://www.rncp.cncp.gouv.fr/grand-public/visualisationFiche?format=fr&amp;fiche=22353","22353")</f>
        <v>22353</v>
      </c>
      <c r="D1999" s="4" t="str">
        <f>HYPERLINK("http://www.intercariforef.org/formations/certification-76977.html","76977")</f>
        <v>76977</v>
      </c>
      <c r="E1999" s="5">
        <v>161300</v>
      </c>
      <c r="F1999" s="5" t="s">
        <v>10</v>
      </c>
      <c r="G1999" s="5" t="s">
        <v>11</v>
      </c>
      <c r="H1999" s="3" t="s">
        <v>1121</v>
      </c>
    </row>
    <row r="2000" spans="1:8" ht="27.6" x14ac:dyDescent="0.25">
      <c r="A2000" s="3" t="s">
        <v>2317</v>
      </c>
      <c r="B2000" s="3" t="s">
        <v>2485</v>
      </c>
      <c r="C2000" s="4" t="str">
        <f>HYPERLINK("http://www.rncp.cncp.gouv.fr/grand-public/visualisationFiche?format=fr&amp;fiche=22353","22353")</f>
        <v>22353</v>
      </c>
      <c r="D2000" s="4" t="str">
        <f>HYPERLINK("http://www.intercariforef.org/formations/certification-76965.html","76965")</f>
        <v>76965</v>
      </c>
      <c r="E2000" s="5">
        <v>161301</v>
      </c>
      <c r="F2000" s="5" t="s">
        <v>10</v>
      </c>
      <c r="G2000" s="5" t="s">
        <v>11</v>
      </c>
      <c r="H2000" s="3" t="s">
        <v>1121</v>
      </c>
    </row>
    <row r="2001" spans="1:8" ht="27.6" x14ac:dyDescent="0.25">
      <c r="A2001" s="3" t="s">
        <v>2317</v>
      </c>
      <c r="B2001" s="3" t="s">
        <v>2486</v>
      </c>
      <c r="C2001" s="4" t="str">
        <f>HYPERLINK("http://www.rncp.cncp.gouv.fr/grand-public/visualisationFiche?format=fr&amp;fiche=22353","22353")</f>
        <v>22353</v>
      </c>
      <c r="D2001" s="4" t="str">
        <f>HYPERLINK("http://www.intercariforef.org/formations/certification-76978.html","76978")</f>
        <v>76978</v>
      </c>
      <c r="E2001" s="5">
        <v>161302</v>
      </c>
      <c r="F2001" s="5" t="s">
        <v>10</v>
      </c>
      <c r="G2001" s="5" t="s">
        <v>11</v>
      </c>
      <c r="H2001" s="3" t="s">
        <v>1121</v>
      </c>
    </row>
    <row r="2002" spans="1:8" ht="27.6" x14ac:dyDescent="0.25">
      <c r="A2002" s="3" t="s">
        <v>2317</v>
      </c>
      <c r="B2002" s="3" t="s">
        <v>2487</v>
      </c>
      <c r="C2002" s="4" t="str">
        <f>HYPERLINK("http://www.rncp.cncp.gouv.fr/grand-public/visualisationFiche?format=fr&amp;fiche=22353","22353")</f>
        <v>22353</v>
      </c>
      <c r="D2002" s="4" t="str">
        <f>HYPERLINK("http://www.intercariforef.org/formations/certification-69049.html","69049")</f>
        <v>69049</v>
      </c>
      <c r="E2002" s="5">
        <v>161299</v>
      </c>
      <c r="F2002" s="5" t="s">
        <v>10</v>
      </c>
      <c r="G2002" s="5" t="s">
        <v>11</v>
      </c>
      <c r="H2002" s="3" t="s">
        <v>1121</v>
      </c>
    </row>
    <row r="2003" spans="1:8" ht="27.6" x14ac:dyDescent="0.25">
      <c r="A2003" s="3" t="s">
        <v>2317</v>
      </c>
      <c r="B2003" s="3" t="s">
        <v>2488</v>
      </c>
      <c r="C2003" s="4" t="str">
        <f>HYPERLINK("http://www.rncp.cncp.gouv.fr/grand-public/visualisationFiche?format=fr&amp;fiche=14058","14058")</f>
        <v>14058</v>
      </c>
      <c r="D2003" s="4" t="str">
        <f>HYPERLINK("http://www.intercariforef.org/formations/certification-76040.html","76040")</f>
        <v>76040</v>
      </c>
      <c r="E2003" s="5">
        <v>161306</v>
      </c>
      <c r="F2003" s="5" t="s">
        <v>10</v>
      </c>
      <c r="G2003" s="5" t="s">
        <v>11</v>
      </c>
      <c r="H2003" s="3" t="s">
        <v>1121</v>
      </c>
    </row>
    <row r="2004" spans="1:8" ht="27.6" x14ac:dyDescent="0.25">
      <c r="A2004" s="3" t="s">
        <v>2317</v>
      </c>
      <c r="B2004" s="3" t="s">
        <v>2489</v>
      </c>
      <c r="C2004" s="4" t="str">
        <f>HYPERLINK("http://www.rncp.cncp.gouv.fr/grand-public/visualisationFiche?format=fr&amp;fiche=14058","14058")</f>
        <v>14058</v>
      </c>
      <c r="D2004" s="4" t="str">
        <f>HYPERLINK("http://www.intercariforef.org/formations/certification-76041.html","76041")</f>
        <v>76041</v>
      </c>
      <c r="E2004" s="5">
        <v>161305</v>
      </c>
      <c r="F2004" s="5" t="s">
        <v>10</v>
      </c>
      <c r="G2004" s="5" t="s">
        <v>11</v>
      </c>
      <c r="H2004" s="3" t="s">
        <v>1121</v>
      </c>
    </row>
    <row r="2005" spans="1:8" ht="27.6" x14ac:dyDescent="0.25">
      <c r="A2005" s="3" t="s">
        <v>2317</v>
      </c>
      <c r="B2005" s="3" t="s">
        <v>2490</v>
      </c>
      <c r="C2005" s="4" t="str">
        <f>HYPERLINK("http://www.rncp.cncp.gouv.fr/grand-public/visualisationFiche?format=fr&amp;fiche=14058","14058")</f>
        <v>14058</v>
      </c>
      <c r="D2005" s="4" t="str">
        <f>HYPERLINK("http://www.intercariforef.org/formations/certification-76042.html","76042")</f>
        <v>76042</v>
      </c>
      <c r="E2005" s="5">
        <v>161304</v>
      </c>
      <c r="F2005" s="5" t="s">
        <v>10</v>
      </c>
      <c r="G2005" s="5" t="s">
        <v>11</v>
      </c>
      <c r="H2005" s="3" t="s">
        <v>1121</v>
      </c>
    </row>
    <row r="2006" spans="1:8" ht="27.6" x14ac:dyDescent="0.25">
      <c r="A2006" s="3" t="s">
        <v>2317</v>
      </c>
      <c r="B2006" s="3" t="s">
        <v>2491</v>
      </c>
      <c r="C2006" s="4" t="str">
        <f>HYPERLINK("http://www.rncp.cncp.gouv.fr/grand-public/visualisationFiche?format=fr&amp;fiche=22350","22350")</f>
        <v>22350</v>
      </c>
      <c r="D2006" s="4" t="str">
        <f>HYPERLINK("http://www.intercariforef.org/formations/certification-81984.html","81984")</f>
        <v>81984</v>
      </c>
      <c r="E2006" s="5">
        <v>161307</v>
      </c>
      <c r="F2006" s="5" t="s">
        <v>10</v>
      </c>
      <c r="G2006" s="5" t="s">
        <v>11</v>
      </c>
      <c r="H2006" s="3" t="s">
        <v>1121</v>
      </c>
    </row>
    <row r="2007" spans="1:8" ht="27.6" x14ac:dyDescent="0.25">
      <c r="A2007" s="3" t="s">
        <v>2317</v>
      </c>
      <c r="B2007" s="3" t="s">
        <v>2492</v>
      </c>
      <c r="C2007" s="4" t="str">
        <f>HYPERLINK("http://www.rncp.cncp.gouv.fr/grand-public/visualisationFiche?format=fr&amp;fiche=1972","1972")</f>
        <v>1972</v>
      </c>
      <c r="D2007" s="4" t="str">
        <f>HYPERLINK("http://www.intercariforef.org/formations/certification-20663.html","20663")</f>
        <v>20663</v>
      </c>
      <c r="E2007" s="5">
        <v>161308</v>
      </c>
      <c r="F2007" s="5" t="s">
        <v>10</v>
      </c>
      <c r="G2007" s="5" t="s">
        <v>11</v>
      </c>
      <c r="H2007" s="3" t="s">
        <v>1121</v>
      </c>
    </row>
    <row r="2008" spans="1:8" ht="27.6" x14ac:dyDescent="0.25">
      <c r="A2008" s="3" t="s">
        <v>2317</v>
      </c>
      <c r="B2008" s="3" t="s">
        <v>2493</v>
      </c>
      <c r="C2008" s="4" t="str">
        <f>HYPERLINK("http://www.rncp.cncp.gouv.fr/grand-public/visualisationFiche?format=fr&amp;fiche=14062","14062")</f>
        <v>14062</v>
      </c>
      <c r="D2008" s="4" t="str">
        <f>HYPERLINK("http://www.intercariforef.org/formations/certification-75862.html","75862")</f>
        <v>75862</v>
      </c>
      <c r="E2008" s="5">
        <v>161309</v>
      </c>
      <c r="F2008" s="5" t="s">
        <v>10</v>
      </c>
      <c r="G2008" s="5" t="s">
        <v>11</v>
      </c>
      <c r="H2008" s="3" t="s">
        <v>1121</v>
      </c>
    </row>
    <row r="2009" spans="1:8" ht="27.6" x14ac:dyDescent="0.25">
      <c r="A2009" s="3" t="s">
        <v>2317</v>
      </c>
      <c r="B2009" s="3" t="s">
        <v>2494</v>
      </c>
      <c r="C2009" s="4" t="str">
        <f>HYPERLINK("http://www.rncp.cncp.gouv.fr/grand-public/visualisationFiche?format=fr&amp;fiche=1973","1973")</f>
        <v>1973</v>
      </c>
      <c r="D2009" s="4" t="str">
        <f>HYPERLINK("http://www.intercariforef.org/formations/certification-55768.html","55768")</f>
        <v>55768</v>
      </c>
      <c r="E2009" s="5">
        <v>161313</v>
      </c>
      <c r="F2009" s="5" t="s">
        <v>10</v>
      </c>
      <c r="G2009" s="5" t="s">
        <v>11</v>
      </c>
      <c r="H2009" s="3" t="s">
        <v>1121</v>
      </c>
    </row>
    <row r="2010" spans="1:8" ht="27.6" x14ac:dyDescent="0.25">
      <c r="A2010" s="3" t="s">
        <v>2317</v>
      </c>
      <c r="B2010" s="3" t="s">
        <v>2495</v>
      </c>
      <c r="C2010" s="4" t="str">
        <f>HYPERLINK("http://www.rncp.cncp.gouv.fr/grand-public/visualisationFiche?format=fr&amp;fiche=1973","1973")</f>
        <v>1973</v>
      </c>
      <c r="D2010" s="4" t="str">
        <f>HYPERLINK("http://www.intercariforef.org/formations/certification-55771.html","55771")</f>
        <v>55771</v>
      </c>
      <c r="E2010" s="5">
        <v>161312</v>
      </c>
      <c r="F2010" s="5" t="s">
        <v>10</v>
      </c>
      <c r="G2010" s="5" t="s">
        <v>11</v>
      </c>
      <c r="H2010" s="3" t="s">
        <v>1121</v>
      </c>
    </row>
    <row r="2011" spans="1:8" ht="27.6" x14ac:dyDescent="0.25">
      <c r="A2011" s="3" t="s">
        <v>2317</v>
      </c>
      <c r="B2011" s="3" t="s">
        <v>2496</v>
      </c>
      <c r="C2011" s="4" t="str">
        <f>HYPERLINK("http://www.rncp.cncp.gouv.fr/grand-public/visualisationFiche?format=fr&amp;fiche=1973","1973")</f>
        <v>1973</v>
      </c>
      <c r="D2011" s="4" t="str">
        <f>HYPERLINK("http://www.intercariforef.org/formations/certification-56068.html","56068")</f>
        <v>56068</v>
      </c>
      <c r="E2011" s="5">
        <v>161310</v>
      </c>
      <c r="F2011" s="5" t="s">
        <v>10</v>
      </c>
      <c r="G2011" s="5" t="s">
        <v>11</v>
      </c>
      <c r="H2011" s="3" t="s">
        <v>1121</v>
      </c>
    </row>
    <row r="2012" spans="1:8" ht="27.6" x14ac:dyDescent="0.25">
      <c r="A2012" s="3" t="s">
        <v>2317</v>
      </c>
      <c r="B2012" s="3" t="s">
        <v>2497</v>
      </c>
      <c r="C2012" s="4" t="str">
        <f>HYPERLINK("http://www.rncp.cncp.gouv.fr/grand-public/visualisationFiche?format=fr&amp;fiche=1973","1973")</f>
        <v>1973</v>
      </c>
      <c r="D2012" s="4" t="str">
        <f>HYPERLINK("http://www.intercariforef.org/formations/certification-56067.html","56067")</f>
        <v>56067</v>
      </c>
      <c r="E2012" s="5">
        <v>161311</v>
      </c>
      <c r="F2012" s="5" t="s">
        <v>10</v>
      </c>
      <c r="G2012" s="5" t="s">
        <v>11</v>
      </c>
      <c r="H2012" s="3" t="s">
        <v>1121</v>
      </c>
    </row>
    <row r="2013" spans="1:8" ht="27.6" x14ac:dyDescent="0.25">
      <c r="A2013" s="3" t="s">
        <v>2317</v>
      </c>
      <c r="B2013" s="3" t="s">
        <v>2498</v>
      </c>
      <c r="C2013" s="4" t="str">
        <f>HYPERLINK("http://www.rncp.cncp.gouv.fr/grand-public/visualisationFiche?format=fr&amp;fiche=1973","1973")</f>
        <v>1973</v>
      </c>
      <c r="D2013" s="4" t="str">
        <f>HYPERLINK("http://www.intercariforef.org/formations/certification-55767.html","55767")</f>
        <v>55767</v>
      </c>
      <c r="E2013" s="5">
        <v>161314</v>
      </c>
      <c r="F2013" s="5" t="s">
        <v>10</v>
      </c>
      <c r="G2013" s="5" t="s">
        <v>11</v>
      </c>
      <c r="H2013" s="3" t="s">
        <v>1121</v>
      </c>
    </row>
    <row r="2014" spans="1:8" ht="27.6" x14ac:dyDescent="0.25">
      <c r="A2014" s="3" t="s">
        <v>2317</v>
      </c>
      <c r="B2014" s="3" t="s">
        <v>2499</v>
      </c>
      <c r="C2014" s="4" t="str">
        <f>HYPERLINK("http://www.rncp.cncp.gouv.fr/grand-public/visualisationFiche?format=fr&amp;fiche=1974","1974")</f>
        <v>1974</v>
      </c>
      <c r="D2014" s="4" t="str">
        <f>HYPERLINK("http://www.intercariforef.org/formations/certification-20664.html","20664")</f>
        <v>20664</v>
      </c>
      <c r="E2014" s="5">
        <v>161253</v>
      </c>
      <c r="F2014" s="5" t="s">
        <v>10</v>
      </c>
      <c r="G2014" s="5" t="s">
        <v>11</v>
      </c>
      <c r="H2014" s="3" t="s">
        <v>1121</v>
      </c>
    </row>
    <row r="2015" spans="1:8" ht="27.6" x14ac:dyDescent="0.25">
      <c r="A2015" s="3" t="s">
        <v>2317</v>
      </c>
      <c r="B2015" s="3" t="s">
        <v>2500</v>
      </c>
      <c r="C2015" s="4" t="str">
        <f>HYPERLINK("http://www.rncp.cncp.gouv.fr/grand-public/visualisationFiche?format=fr&amp;fiche=5536","5536")</f>
        <v>5536</v>
      </c>
      <c r="D2015" s="4" t="str">
        <f>HYPERLINK("http://www.intercariforef.org/formations/certification-56815.html","56815")</f>
        <v>56815</v>
      </c>
      <c r="E2015" s="5">
        <v>161315</v>
      </c>
      <c r="F2015" s="5" t="s">
        <v>10</v>
      </c>
      <c r="G2015" s="5" t="s">
        <v>11</v>
      </c>
      <c r="H2015" s="3" t="s">
        <v>1121</v>
      </c>
    </row>
    <row r="2016" spans="1:8" ht="27.6" x14ac:dyDescent="0.25">
      <c r="A2016" s="3" t="s">
        <v>2317</v>
      </c>
      <c r="B2016" s="3" t="s">
        <v>2501</v>
      </c>
      <c r="C2016" s="4" t="str">
        <f>HYPERLINK("http://www.rncp.cncp.gouv.fr/grand-public/visualisationFiche?format=fr&amp;fiche=5536","5536")</f>
        <v>5536</v>
      </c>
      <c r="D2016" s="4" t="str">
        <f>HYPERLINK("http://www.intercariforef.org/formations/certification-56821.html","56821")</f>
        <v>56821</v>
      </c>
      <c r="E2016" s="5">
        <v>161316</v>
      </c>
      <c r="F2016" s="5" t="s">
        <v>10</v>
      </c>
      <c r="G2016" s="5" t="s">
        <v>11</v>
      </c>
      <c r="H2016" s="3" t="s">
        <v>1121</v>
      </c>
    </row>
    <row r="2017" spans="1:8" ht="27.6" x14ac:dyDescent="0.25">
      <c r="A2017" s="3" t="s">
        <v>2317</v>
      </c>
      <c r="B2017" s="3" t="s">
        <v>2502</v>
      </c>
      <c r="C2017" s="5"/>
      <c r="D2017" s="4" t="str">
        <f>HYPERLINK("http://www.intercariforef.org/formations/certification-81941.html","81941")</f>
        <v>81941</v>
      </c>
      <c r="E2017" s="5">
        <v>161318</v>
      </c>
      <c r="F2017" s="5" t="s">
        <v>10</v>
      </c>
      <c r="G2017" s="5" t="s">
        <v>11</v>
      </c>
      <c r="H2017" s="3" t="s">
        <v>1121</v>
      </c>
    </row>
    <row r="2018" spans="1:8" ht="13.8" x14ac:dyDescent="0.25">
      <c r="A2018" s="3" t="s">
        <v>2317</v>
      </c>
      <c r="B2018" s="3" t="s">
        <v>2503</v>
      </c>
      <c r="C2018" s="5"/>
      <c r="D2018" s="4" t="str">
        <f>HYPERLINK("http://www.intercariforef.org/formations/certification-74790.html","74790")</f>
        <v>74790</v>
      </c>
      <c r="E2018" s="5">
        <v>2163</v>
      </c>
      <c r="F2018" s="5" t="s">
        <v>10</v>
      </c>
      <c r="G2018" s="5" t="s">
        <v>11</v>
      </c>
      <c r="H2018" s="3" t="s">
        <v>2504</v>
      </c>
    </row>
    <row r="2019" spans="1:8" ht="13.8" x14ac:dyDescent="0.25">
      <c r="A2019" s="3" t="s">
        <v>2317</v>
      </c>
      <c r="B2019" s="3" t="s">
        <v>2505</v>
      </c>
      <c r="C2019" s="4" t="str">
        <f>HYPERLINK("http://www.rncp.cncp.gouv.fr/grand-public/visualisationFiche?format=fr&amp;fiche=2258","2258")</f>
        <v>2258</v>
      </c>
      <c r="D2019" s="4" t="str">
        <f>HYPERLINK("http://www.intercariforef.org/formations/certification-20867.html","20867")</f>
        <v>20867</v>
      </c>
      <c r="E2019" s="5">
        <v>142274</v>
      </c>
      <c r="F2019" s="5" t="s">
        <v>10</v>
      </c>
      <c r="G2019" s="5" t="s">
        <v>11</v>
      </c>
      <c r="H2019" s="3" t="s">
        <v>2026</v>
      </c>
    </row>
    <row r="2020" spans="1:8" ht="13.8" x14ac:dyDescent="0.25">
      <c r="A2020" s="3" t="s">
        <v>2317</v>
      </c>
      <c r="B2020" s="3" t="s">
        <v>2506</v>
      </c>
      <c r="C2020" s="4" t="str">
        <f>HYPERLINK("http://www.rncp.cncp.gouv.fr/grand-public/visualisationFiche?format=fr&amp;fiche=2260","2260")</f>
        <v>2260</v>
      </c>
      <c r="D2020" s="4" t="str">
        <f>HYPERLINK("http://www.intercariforef.org/formations/certification-20868.html","20868")</f>
        <v>20868</v>
      </c>
      <c r="E2020" s="5">
        <v>142275</v>
      </c>
      <c r="F2020" s="5" t="s">
        <v>10</v>
      </c>
      <c r="G2020" s="5" t="s">
        <v>11</v>
      </c>
      <c r="H2020" s="3" t="s">
        <v>2026</v>
      </c>
    </row>
    <row r="2021" spans="1:8" ht="13.8" x14ac:dyDescent="0.25">
      <c r="A2021" s="3" t="s">
        <v>2317</v>
      </c>
      <c r="B2021" s="3" t="s">
        <v>2507</v>
      </c>
      <c r="C2021" s="4" t="str">
        <f>HYPERLINK("http://www.rncp.cncp.gouv.fr/grand-public/visualisationFiche?format=fr&amp;fiche=2272","2272")</f>
        <v>2272</v>
      </c>
      <c r="D2021" s="4" t="str">
        <f>HYPERLINK("http://www.intercariforef.org/formations/certification-20870.html","20870")</f>
        <v>20870</v>
      </c>
      <c r="E2021" s="5">
        <v>142279</v>
      </c>
      <c r="F2021" s="5" t="s">
        <v>10</v>
      </c>
      <c r="G2021" s="5" t="s">
        <v>11</v>
      </c>
      <c r="H2021" s="3" t="s">
        <v>2026</v>
      </c>
    </row>
    <row r="2022" spans="1:8" ht="27.6" x14ac:dyDescent="0.25">
      <c r="A2022" s="3" t="s">
        <v>2317</v>
      </c>
      <c r="B2022" s="3" t="s">
        <v>2508</v>
      </c>
      <c r="C2022" s="4" t="str">
        <f>HYPERLINK("http://www.rncp.cncp.gouv.fr/grand-public/visualisationFiche?format=fr&amp;fiche=4106","4106")</f>
        <v>4106</v>
      </c>
      <c r="D2022" s="4" t="str">
        <f>HYPERLINK("http://www.intercariforef.org/formations/certification-46797.html","46797")</f>
        <v>46797</v>
      </c>
      <c r="E2022" s="5">
        <v>142282</v>
      </c>
      <c r="F2022" s="5" t="s">
        <v>10</v>
      </c>
      <c r="G2022" s="5" t="s">
        <v>11</v>
      </c>
      <c r="H2022" s="3" t="s">
        <v>2026</v>
      </c>
    </row>
    <row r="2023" spans="1:8" ht="13.8" x14ac:dyDescent="0.25">
      <c r="A2023" s="3" t="s">
        <v>2317</v>
      </c>
      <c r="B2023" s="3" t="s">
        <v>2509</v>
      </c>
      <c r="C2023" s="4" t="str">
        <f>HYPERLINK("http://www.rncp.cncp.gouv.fr/grand-public/visualisationFiche?format=fr&amp;fiche=2265","2265")</f>
        <v>2265</v>
      </c>
      <c r="D2023" s="4" t="str">
        <f>HYPERLINK("http://www.intercariforef.org/formations/certification-20877.html","20877")</f>
        <v>20877</v>
      </c>
      <c r="E2023" s="5">
        <v>142283</v>
      </c>
      <c r="F2023" s="5" t="s">
        <v>10</v>
      </c>
      <c r="G2023" s="5" t="s">
        <v>11</v>
      </c>
      <c r="H2023" s="3" t="s">
        <v>2026</v>
      </c>
    </row>
    <row r="2024" spans="1:8" ht="13.8" x14ac:dyDescent="0.25">
      <c r="A2024" s="3" t="s">
        <v>2317</v>
      </c>
      <c r="B2024" s="3" t="s">
        <v>2510</v>
      </c>
      <c r="C2024" s="4" t="str">
        <f>HYPERLINK("http://www.rncp.cncp.gouv.fr/grand-public/visualisationFiche?format=fr&amp;fiche=2266","2266")</f>
        <v>2266</v>
      </c>
      <c r="D2024" s="4" t="str">
        <f>HYPERLINK("http://www.intercariforef.org/formations/certification-20878.html","20878")</f>
        <v>20878</v>
      </c>
      <c r="E2024" s="5">
        <v>2173</v>
      </c>
      <c r="F2024" s="5" t="s">
        <v>10</v>
      </c>
      <c r="G2024" s="5" t="s">
        <v>11</v>
      </c>
      <c r="H2024" s="3" t="s">
        <v>2026</v>
      </c>
    </row>
    <row r="2025" spans="1:8" ht="13.8" x14ac:dyDescent="0.25">
      <c r="A2025" s="3" t="s">
        <v>2317</v>
      </c>
      <c r="B2025" s="3" t="s">
        <v>2511</v>
      </c>
      <c r="C2025" s="4" t="str">
        <f>HYPERLINK("http://www.rncp.cncp.gouv.fr/grand-public/visualisationFiche?format=fr&amp;fiche=2267","2267")</f>
        <v>2267</v>
      </c>
      <c r="D2025" s="4" t="str">
        <f>HYPERLINK("http://www.intercariforef.org/formations/certification-20879.html","20879")</f>
        <v>20879</v>
      </c>
      <c r="E2025" s="5">
        <v>2174</v>
      </c>
      <c r="F2025" s="5" t="s">
        <v>10</v>
      </c>
      <c r="G2025" s="5" t="s">
        <v>11</v>
      </c>
      <c r="H2025" s="3" t="s">
        <v>2026</v>
      </c>
    </row>
    <row r="2026" spans="1:8" ht="27.6" x14ac:dyDescent="0.25">
      <c r="A2026" s="3" t="s">
        <v>2317</v>
      </c>
      <c r="B2026" s="3" t="s">
        <v>2512</v>
      </c>
      <c r="C2026" s="4" t="str">
        <f>HYPERLINK("http://www.rncp.cncp.gouv.fr/grand-public/visualisationFiche?format=fr&amp;fiche=2271","2271")</f>
        <v>2271</v>
      </c>
      <c r="D2026" s="4" t="str">
        <f>HYPERLINK("http://www.intercariforef.org/formations/certification-46799.html","46799")</f>
        <v>46799</v>
      </c>
      <c r="E2026" s="5">
        <v>142284</v>
      </c>
      <c r="F2026" s="5" t="s">
        <v>10</v>
      </c>
      <c r="G2026" s="5" t="s">
        <v>11</v>
      </c>
      <c r="H2026" s="3" t="s">
        <v>2026</v>
      </c>
    </row>
    <row r="2027" spans="1:8" ht="27.6" x14ac:dyDescent="0.25">
      <c r="A2027" s="3" t="s">
        <v>2317</v>
      </c>
      <c r="B2027" s="3" t="s">
        <v>2513</v>
      </c>
      <c r="C2027" s="4" t="str">
        <f>HYPERLINK("http://www.rncp.cncp.gouv.fr/grand-public/visualisationFiche?format=fr&amp;fiche=2263","2263")</f>
        <v>2263</v>
      </c>
      <c r="D2027" s="4" t="str">
        <f>HYPERLINK("http://www.intercariforef.org/formations/certification-20872.html","20872")</f>
        <v>20872</v>
      </c>
      <c r="E2027" s="5">
        <v>2171</v>
      </c>
      <c r="F2027" s="5" t="s">
        <v>10</v>
      </c>
      <c r="G2027" s="5" t="s">
        <v>11</v>
      </c>
      <c r="H2027" s="3" t="s">
        <v>2026</v>
      </c>
    </row>
    <row r="2028" spans="1:8" ht="27.6" x14ac:dyDescent="0.25">
      <c r="A2028" s="3" t="s">
        <v>2317</v>
      </c>
      <c r="B2028" s="3" t="s">
        <v>2514</v>
      </c>
      <c r="C2028" s="4" t="str">
        <f>HYPERLINK("http://www.rncp.cncp.gouv.fr/grand-public/visualisationFiche?format=fr&amp;fiche=2264","2264")</f>
        <v>2264</v>
      </c>
      <c r="D2028" s="4" t="str">
        <f>HYPERLINK("http://www.intercariforef.org/formations/certification-20873.html","20873")</f>
        <v>20873</v>
      </c>
      <c r="E2028" s="5">
        <v>2172</v>
      </c>
      <c r="F2028" s="5" t="s">
        <v>10</v>
      </c>
      <c r="G2028" s="5" t="s">
        <v>11</v>
      </c>
      <c r="H2028" s="3" t="s">
        <v>2026</v>
      </c>
    </row>
    <row r="2029" spans="1:8" ht="27.6" x14ac:dyDescent="0.25">
      <c r="A2029" s="3" t="s">
        <v>2317</v>
      </c>
      <c r="B2029" s="3" t="s">
        <v>2515</v>
      </c>
      <c r="C2029" s="4" t="str">
        <f>HYPERLINK("http://www.rncp.cncp.gouv.fr/grand-public/visualisationFiche?format=fr&amp;fiche=2268","2268")</f>
        <v>2268</v>
      </c>
      <c r="D2029" s="4" t="str">
        <f>HYPERLINK("http://www.intercariforef.org/formations/certification-22303.html","22303")</f>
        <v>22303</v>
      </c>
      <c r="E2029" s="5">
        <v>142280</v>
      </c>
      <c r="F2029" s="5" t="s">
        <v>10</v>
      </c>
      <c r="G2029" s="5" t="s">
        <v>11</v>
      </c>
      <c r="H2029" s="3" t="s">
        <v>2026</v>
      </c>
    </row>
    <row r="2030" spans="1:8" ht="27.6" x14ac:dyDescent="0.25">
      <c r="A2030" s="3" t="s">
        <v>2317</v>
      </c>
      <c r="B2030" s="3" t="s">
        <v>2516</v>
      </c>
      <c r="C2030" s="4" t="str">
        <f>HYPERLINK("http://www.rncp.cncp.gouv.fr/grand-public/visualisationFiche?format=fr&amp;fiche=2269","2269")</f>
        <v>2269</v>
      </c>
      <c r="D2030" s="4" t="str">
        <f>HYPERLINK("http://www.intercariforef.org/formations/certification-20875.html","20875")</f>
        <v>20875</v>
      </c>
      <c r="E2030" s="5">
        <v>142281</v>
      </c>
      <c r="F2030" s="5" t="s">
        <v>10</v>
      </c>
      <c r="G2030" s="5" t="s">
        <v>11</v>
      </c>
      <c r="H2030" s="3" t="s">
        <v>2026</v>
      </c>
    </row>
    <row r="2031" spans="1:8" ht="13.8" x14ac:dyDescent="0.25">
      <c r="A2031" s="3" t="s">
        <v>2317</v>
      </c>
      <c r="B2031" s="3" t="s">
        <v>2517</v>
      </c>
      <c r="C2031" s="4" t="str">
        <f>HYPERLINK("http://www.rncp.cncp.gouv.fr/grand-public/visualisationFiche?format=fr&amp;fiche=15798","15798")</f>
        <v>15798</v>
      </c>
      <c r="D2031" s="4" t="str">
        <f>HYPERLINK("http://www.intercariforef.org/formations/certification-80820.html","80820")</f>
        <v>80820</v>
      </c>
      <c r="E2031" s="5">
        <v>2061</v>
      </c>
      <c r="F2031" s="5" t="s">
        <v>10</v>
      </c>
      <c r="G2031" s="5" t="s">
        <v>11</v>
      </c>
      <c r="H2031" s="3" t="s">
        <v>2026</v>
      </c>
    </row>
    <row r="2032" spans="1:8" ht="13.8" x14ac:dyDescent="0.25">
      <c r="A2032" s="3" t="s">
        <v>2317</v>
      </c>
      <c r="B2032" s="3" t="s">
        <v>2518</v>
      </c>
      <c r="C2032" s="4" t="str">
        <f>HYPERLINK("http://www.rncp.cncp.gouv.fr/grand-public/visualisationFiche?format=fr&amp;fiche=2270","2270")</f>
        <v>2270</v>
      </c>
      <c r="D2032" s="4" t="str">
        <f>HYPERLINK("http://www.intercariforef.org/formations/certification-20881.html","20881")</f>
        <v>20881</v>
      </c>
      <c r="E2032" s="5">
        <v>2175</v>
      </c>
      <c r="F2032" s="5" t="s">
        <v>10</v>
      </c>
      <c r="G2032" s="5" t="s">
        <v>11</v>
      </c>
      <c r="H2032" s="3" t="s">
        <v>2026</v>
      </c>
    </row>
    <row r="2033" spans="1:8" ht="13.8" x14ac:dyDescent="0.25">
      <c r="A2033" s="3" t="s">
        <v>2317</v>
      </c>
      <c r="B2033" s="3" t="s">
        <v>2519</v>
      </c>
      <c r="C2033" s="4" t="str">
        <f>HYPERLINK("http://www.rncp.cncp.gouv.fr/grand-public/visualisationFiche?format=fr&amp;fiche=2273","2273")</f>
        <v>2273</v>
      </c>
      <c r="D2033" s="4" t="str">
        <f>HYPERLINK("http://www.intercariforef.org/formations/certification-20884.html","20884")</f>
        <v>20884</v>
      </c>
      <c r="E2033" s="5">
        <v>142285</v>
      </c>
      <c r="F2033" s="5" t="s">
        <v>10</v>
      </c>
      <c r="G2033" s="5" t="s">
        <v>11</v>
      </c>
      <c r="H2033" s="3" t="s">
        <v>2026</v>
      </c>
    </row>
    <row r="2034" spans="1:8" ht="13.8" x14ac:dyDescent="0.25">
      <c r="A2034" s="3" t="s">
        <v>2317</v>
      </c>
      <c r="B2034" s="3" t="s">
        <v>2520</v>
      </c>
      <c r="C2034" s="4" t="str">
        <f>HYPERLINK("http://www.rncp.cncp.gouv.fr/grand-public/visualisationFiche?format=fr&amp;fiche=3857","3857")</f>
        <v>3857</v>
      </c>
      <c r="D2034" s="4" t="str">
        <f>HYPERLINK("http://www.intercariforef.org/formations/certification-46804.html","46804")</f>
        <v>46804</v>
      </c>
      <c r="E2034" s="5">
        <v>142273</v>
      </c>
      <c r="F2034" s="5" t="s">
        <v>10</v>
      </c>
      <c r="G2034" s="5" t="s">
        <v>11</v>
      </c>
      <c r="H2034" s="3" t="s">
        <v>2026</v>
      </c>
    </row>
    <row r="2035" spans="1:8" ht="27.6" x14ac:dyDescent="0.25">
      <c r="A2035" s="3" t="s">
        <v>2317</v>
      </c>
      <c r="B2035" s="3" t="s">
        <v>2521</v>
      </c>
      <c r="C2035" s="4" t="str">
        <f>HYPERLINK("http://www.rncp.cncp.gouv.fr/grand-public/visualisationFiche?format=fr&amp;fiche=2279","2279")</f>
        <v>2279</v>
      </c>
      <c r="D2035" s="4" t="str">
        <f>HYPERLINK("http://www.intercariforef.org/formations/certification-20892.html","20892")</f>
        <v>20892</v>
      </c>
      <c r="E2035" s="5">
        <v>142286</v>
      </c>
      <c r="F2035" s="5" t="s">
        <v>10</v>
      </c>
      <c r="G2035" s="5" t="s">
        <v>11</v>
      </c>
      <c r="H2035" s="3" t="s">
        <v>2026</v>
      </c>
    </row>
    <row r="2036" spans="1:8" ht="13.8" x14ac:dyDescent="0.25">
      <c r="A2036" s="3" t="s">
        <v>2317</v>
      </c>
      <c r="B2036" s="3" t="s">
        <v>2522</v>
      </c>
      <c r="C2036" s="4" t="str">
        <f>HYPERLINK("http://www.rncp.cncp.gouv.fr/grand-public/visualisationFiche?format=fr&amp;fiche=2280","2280")</f>
        <v>2280</v>
      </c>
      <c r="D2036" s="4" t="str">
        <f>HYPERLINK("http://www.intercariforef.org/formations/certification-31951.html","31951")</f>
        <v>31951</v>
      </c>
      <c r="E2036" s="5">
        <v>142287</v>
      </c>
      <c r="F2036" s="5" t="s">
        <v>10</v>
      </c>
      <c r="G2036" s="5" t="s">
        <v>11</v>
      </c>
      <c r="H2036" s="3" t="s">
        <v>2026</v>
      </c>
    </row>
    <row r="2037" spans="1:8" ht="13.8" x14ac:dyDescent="0.25">
      <c r="A2037" s="3" t="s">
        <v>2317</v>
      </c>
      <c r="B2037" s="3" t="s">
        <v>2523</v>
      </c>
      <c r="C2037" s="4" t="str">
        <f>HYPERLINK("http://www.rncp.cncp.gouv.fr/grand-public/visualisationFiche?format=fr&amp;fiche=2294","2294")</f>
        <v>2294</v>
      </c>
      <c r="D2037" s="4" t="str">
        <f>HYPERLINK("http://www.intercariforef.org/formations/certification-20895.html","20895")</f>
        <v>20895</v>
      </c>
      <c r="E2037" s="5">
        <v>142288</v>
      </c>
      <c r="F2037" s="5" t="s">
        <v>10</v>
      </c>
      <c r="G2037" s="5" t="s">
        <v>11</v>
      </c>
      <c r="H2037" s="3" t="s">
        <v>2026</v>
      </c>
    </row>
    <row r="2038" spans="1:8" ht="13.8" x14ac:dyDescent="0.25">
      <c r="A2038" s="3" t="s">
        <v>2317</v>
      </c>
      <c r="B2038" s="3" t="s">
        <v>2524</v>
      </c>
      <c r="C2038" s="4" t="str">
        <f>HYPERLINK("http://www.rncp.cncp.gouv.fr/grand-public/visualisationFiche?format=fr&amp;fiche=2306","2306")</f>
        <v>2306</v>
      </c>
      <c r="D2038" s="4" t="str">
        <f>HYPERLINK("http://www.intercariforef.org/formations/certification-20897.html","20897")</f>
        <v>20897</v>
      </c>
      <c r="E2038" s="5">
        <v>142289</v>
      </c>
      <c r="F2038" s="5" t="s">
        <v>10</v>
      </c>
      <c r="G2038" s="5" t="s">
        <v>11</v>
      </c>
      <c r="H2038" s="3" t="s">
        <v>2026</v>
      </c>
    </row>
    <row r="2039" spans="1:8" ht="13.8" x14ac:dyDescent="0.25">
      <c r="A2039" s="3" t="s">
        <v>2317</v>
      </c>
      <c r="B2039" s="3" t="s">
        <v>2525</v>
      </c>
      <c r="C2039" s="4" t="str">
        <f>HYPERLINK("http://www.rncp.cncp.gouv.fr/grand-public/visualisationFiche?format=fr&amp;fiche=2307","2307")</f>
        <v>2307</v>
      </c>
      <c r="D2039" s="4" t="str">
        <f>HYPERLINK("http://www.intercariforef.org/formations/certification-46818.html","46818")</f>
        <v>46818</v>
      </c>
      <c r="E2039" s="5">
        <v>142276</v>
      </c>
      <c r="F2039" s="5" t="s">
        <v>10</v>
      </c>
      <c r="G2039" s="5" t="s">
        <v>11</v>
      </c>
      <c r="H2039" s="3" t="s">
        <v>2026</v>
      </c>
    </row>
    <row r="2040" spans="1:8" ht="13.8" x14ac:dyDescent="0.25">
      <c r="A2040" s="3" t="s">
        <v>2317</v>
      </c>
      <c r="B2040" s="3" t="s">
        <v>2526</v>
      </c>
      <c r="C2040" s="4" t="str">
        <f>HYPERLINK("http://www.rncp.cncp.gouv.fr/grand-public/visualisationFiche?format=fr&amp;fiche=2304","2304")</f>
        <v>2304</v>
      </c>
      <c r="D2040" s="4" t="str">
        <f>HYPERLINK("http://www.intercariforef.org/formations/certification-20899.html","20899")</f>
        <v>20899</v>
      </c>
      <c r="E2040" s="5">
        <v>142290</v>
      </c>
      <c r="F2040" s="5" t="s">
        <v>10</v>
      </c>
      <c r="G2040" s="5" t="s">
        <v>11</v>
      </c>
      <c r="H2040" s="3" t="s">
        <v>2026</v>
      </c>
    </row>
    <row r="2041" spans="1:8" ht="13.8" x14ac:dyDescent="0.25">
      <c r="A2041" s="3" t="s">
        <v>2317</v>
      </c>
      <c r="B2041" s="3" t="s">
        <v>2527</v>
      </c>
      <c r="C2041" s="4" t="str">
        <f>HYPERLINK("http://www.rncp.cncp.gouv.fr/grand-public/visualisationFiche?format=fr&amp;fiche=18122","18122")</f>
        <v>18122</v>
      </c>
      <c r="D2041" s="4" t="str">
        <f>HYPERLINK("http://www.intercariforef.org/formations/certification-82583.html","82583")</f>
        <v>82583</v>
      </c>
      <c r="E2041" s="5">
        <v>2165</v>
      </c>
      <c r="F2041" s="5" t="s">
        <v>10</v>
      </c>
      <c r="G2041" s="5" t="s">
        <v>11</v>
      </c>
      <c r="H2041" s="3" t="s">
        <v>1097</v>
      </c>
    </row>
    <row r="2042" spans="1:8" ht="27.6" x14ac:dyDescent="0.25">
      <c r="A2042" s="3" t="s">
        <v>2317</v>
      </c>
      <c r="B2042" s="3" t="s">
        <v>2528</v>
      </c>
      <c r="C2042" s="4" t="str">
        <f>HYPERLINK("http://www.rncp.cncp.gouv.fr/grand-public/visualisationFiche?format=fr&amp;fiche=13587","13587")</f>
        <v>13587</v>
      </c>
      <c r="D2042" s="4" t="str">
        <f>HYPERLINK("http://www.intercariforef.org/formations/certification-76736.html","76736")</f>
        <v>76736</v>
      </c>
      <c r="E2042" s="5">
        <v>142277</v>
      </c>
      <c r="F2042" s="5" t="s">
        <v>10</v>
      </c>
      <c r="G2042" s="5" t="s">
        <v>11</v>
      </c>
      <c r="H2042" s="3" t="s">
        <v>2529</v>
      </c>
    </row>
    <row r="2043" spans="1:8" ht="13.8" x14ac:dyDescent="0.25">
      <c r="A2043" s="3" t="s">
        <v>2317</v>
      </c>
      <c r="B2043" s="3" t="s">
        <v>2530</v>
      </c>
      <c r="C2043" s="4" t="str">
        <f>HYPERLINK("http://www.rncp.cncp.gouv.fr/grand-public/visualisationFiche?format=fr&amp;fiche=12047","12047")</f>
        <v>12047</v>
      </c>
      <c r="D2043" s="4" t="str">
        <f>HYPERLINK("http://www.intercariforef.org/formations/certification-72712.html","72712")</f>
        <v>72712</v>
      </c>
      <c r="E2043" s="5">
        <v>142278</v>
      </c>
      <c r="F2043" s="5" t="s">
        <v>10</v>
      </c>
      <c r="G2043" s="5" t="s">
        <v>11</v>
      </c>
      <c r="H2043" s="3" t="s">
        <v>2531</v>
      </c>
    </row>
    <row r="2044" spans="1:8" ht="13.8" x14ac:dyDescent="0.25">
      <c r="A2044" s="3" t="s">
        <v>2317</v>
      </c>
      <c r="B2044" s="3" t="s">
        <v>2532</v>
      </c>
      <c r="C2044" s="4" t="str">
        <f>HYPERLINK("http://www.rncp.cncp.gouv.fr/grand-public/visualisationFiche?format=fr&amp;fiche=12295","12295")</f>
        <v>12295</v>
      </c>
      <c r="D2044" s="4" t="str">
        <f>HYPERLINK("http://www.intercariforef.org/formations/certification-74841.html","74841")</f>
        <v>74841</v>
      </c>
      <c r="E2044" s="5">
        <v>2167</v>
      </c>
      <c r="F2044" s="5" t="s">
        <v>10</v>
      </c>
      <c r="G2044" s="5" t="s">
        <v>11</v>
      </c>
      <c r="H2044" s="3" t="s">
        <v>1770</v>
      </c>
    </row>
    <row r="2045" spans="1:8" ht="13.8" x14ac:dyDescent="0.25">
      <c r="A2045" s="3" t="s">
        <v>2317</v>
      </c>
      <c r="B2045" s="3" t="s">
        <v>2533</v>
      </c>
      <c r="C2045" s="4" t="str">
        <f>HYPERLINK("http://www.rncp.cncp.gouv.fr/grand-public/visualisationFiche?format=fr&amp;fiche=22939","22939")</f>
        <v>22939</v>
      </c>
      <c r="D2045" s="4" t="str">
        <f>HYPERLINK("http://www.intercariforef.org/formations/certification-81160.html","81160")</f>
        <v>81160</v>
      </c>
      <c r="E2045" s="5">
        <v>2168</v>
      </c>
      <c r="F2045" s="5" t="s">
        <v>10</v>
      </c>
      <c r="G2045" s="5" t="s">
        <v>11</v>
      </c>
      <c r="H2045" s="3" t="s">
        <v>2534</v>
      </c>
    </row>
    <row r="2046" spans="1:8" ht="13.8" x14ac:dyDescent="0.25">
      <c r="A2046" s="3" t="s">
        <v>2317</v>
      </c>
      <c r="B2046" s="3" t="s">
        <v>2535</v>
      </c>
      <c r="C2046" s="4" t="str">
        <f>HYPERLINK("http://www.rncp.cncp.gouv.fr/grand-public/visualisationFiche?format=fr&amp;fiche=14426","14426")</f>
        <v>14426</v>
      </c>
      <c r="D2046" s="4" t="str">
        <f>HYPERLINK("http://www.intercariforef.org/formations/certification-77562.html","77562")</f>
        <v>77562</v>
      </c>
      <c r="E2046" s="5">
        <v>2169</v>
      </c>
      <c r="F2046" s="5" t="s">
        <v>10</v>
      </c>
      <c r="G2046" s="5" t="s">
        <v>11</v>
      </c>
      <c r="H2046" s="3" t="s">
        <v>2536</v>
      </c>
    </row>
    <row r="2047" spans="1:8" ht="13.8" x14ac:dyDescent="0.25">
      <c r="A2047" s="3" t="s">
        <v>2317</v>
      </c>
      <c r="B2047" s="3" t="s">
        <v>2537</v>
      </c>
      <c r="C2047" s="4" t="str">
        <f>HYPERLINK("http://www.rncp.cncp.gouv.fr/grand-public/visualisationFiche?format=fr&amp;fiche=5557","5557")</f>
        <v>5557</v>
      </c>
      <c r="D2047" s="4" t="str">
        <f>HYPERLINK("http://www.intercariforef.org/formations/certification-57761.html","57761")</f>
        <v>57761</v>
      </c>
      <c r="E2047" s="5">
        <v>2170</v>
      </c>
      <c r="F2047" s="5" t="s">
        <v>10</v>
      </c>
      <c r="G2047" s="5" t="s">
        <v>11</v>
      </c>
      <c r="H2047" s="3" t="s">
        <v>2538</v>
      </c>
    </row>
    <row r="2048" spans="1:8" ht="13.8" x14ac:dyDescent="0.25">
      <c r="A2048" s="3" t="s">
        <v>2317</v>
      </c>
      <c r="B2048" s="3" t="s">
        <v>2539</v>
      </c>
      <c r="C2048" s="4" t="str">
        <f>HYPERLINK("http://www.rncp.cncp.gouv.fr/grand-public/visualisationFiche?format=fr&amp;fiche=9660","9660")</f>
        <v>9660</v>
      </c>
      <c r="D2048" s="4" t="str">
        <f>HYPERLINK("http://www.intercariforef.org/formations/certification-68516.html","68516")</f>
        <v>68516</v>
      </c>
      <c r="E2048" s="5">
        <v>161320</v>
      </c>
      <c r="F2048" s="5" t="s">
        <v>10</v>
      </c>
      <c r="G2048" s="5" t="s">
        <v>11</v>
      </c>
      <c r="H2048" s="3" t="s">
        <v>2540</v>
      </c>
    </row>
    <row r="2049" spans="1:8" ht="13.8" x14ac:dyDescent="0.25">
      <c r="A2049" s="3" t="s">
        <v>2317</v>
      </c>
      <c r="B2049" s="3" t="s">
        <v>2541</v>
      </c>
      <c r="C2049" s="4" t="str">
        <f>HYPERLINK("http://www.rncp.cncp.gouv.fr/grand-public/visualisationFiche?format=fr&amp;fiche=20336","20336")</f>
        <v>20336</v>
      </c>
      <c r="D2049" s="4" t="str">
        <f>HYPERLINK("http://www.intercariforef.org/formations/certification-63683.html","63683")</f>
        <v>63683</v>
      </c>
      <c r="E2049" s="5">
        <v>130832</v>
      </c>
      <c r="F2049" s="5" t="s">
        <v>10</v>
      </c>
      <c r="G2049" s="5" t="s">
        <v>11</v>
      </c>
      <c r="H2049" s="3" t="s">
        <v>2241</v>
      </c>
    </row>
    <row r="2050" spans="1:8" ht="13.8" x14ac:dyDescent="0.25">
      <c r="A2050" s="3" t="s">
        <v>2317</v>
      </c>
      <c r="B2050" s="3" t="s">
        <v>2542</v>
      </c>
      <c r="C2050" s="4" t="str">
        <f>HYPERLINK("http://www.rncp.cncp.gouv.fr/grand-public/visualisationFiche?format=fr&amp;fiche=17673","17673")</f>
        <v>17673</v>
      </c>
      <c r="D2050" s="4" t="str">
        <f>HYPERLINK("http://www.intercariforef.org/formations/certification-78891.html","78891")</f>
        <v>78891</v>
      </c>
      <c r="E2050" s="5">
        <v>142292</v>
      </c>
      <c r="F2050" s="5" t="s">
        <v>10</v>
      </c>
      <c r="G2050" s="5" t="s">
        <v>11</v>
      </c>
      <c r="H2050" s="3" t="s">
        <v>2531</v>
      </c>
    </row>
    <row r="2051" spans="1:8" ht="27.6" x14ac:dyDescent="0.25">
      <c r="A2051" s="3" t="s">
        <v>2317</v>
      </c>
      <c r="B2051" s="3" t="s">
        <v>2543</v>
      </c>
      <c r="C2051" s="4" t="str">
        <f>HYPERLINK("http://www.rncp.cncp.gouv.fr/grand-public/visualisationFiche?format=fr&amp;fiche=2046","2046")</f>
        <v>2046</v>
      </c>
      <c r="D2051" s="4" t="str">
        <f>HYPERLINK("http://www.intercariforef.org/formations/certification-31192.html","31192")</f>
        <v>31192</v>
      </c>
      <c r="E2051" s="5">
        <v>142291</v>
      </c>
      <c r="F2051" s="5" t="s">
        <v>10</v>
      </c>
      <c r="G2051" s="5" t="s">
        <v>11</v>
      </c>
      <c r="H2051" s="3" t="s">
        <v>2544</v>
      </c>
    </row>
    <row r="2052" spans="1:8" ht="13.8" x14ac:dyDescent="0.25">
      <c r="A2052" s="3" t="s">
        <v>2317</v>
      </c>
      <c r="B2052" s="3" t="s">
        <v>2545</v>
      </c>
      <c r="C2052" s="4" t="str">
        <f>HYPERLINK("http://www.rncp.cncp.gouv.fr/grand-public/visualisationFiche?format=fr&amp;fiche=492","492")</f>
        <v>492</v>
      </c>
      <c r="D2052" s="4" t="str">
        <f>HYPERLINK("http://www.intercariforef.org/formations/certification-53865.html","53865")</f>
        <v>53865</v>
      </c>
      <c r="E2052" s="5">
        <v>130860</v>
      </c>
      <c r="F2052" s="5" t="s">
        <v>10</v>
      </c>
      <c r="G2052" s="5" t="s">
        <v>11</v>
      </c>
      <c r="H2052" s="3" t="s">
        <v>25</v>
      </c>
    </row>
    <row r="2053" spans="1:8" ht="13.8" x14ac:dyDescent="0.25">
      <c r="A2053" s="3" t="s">
        <v>2317</v>
      </c>
      <c r="B2053" s="3" t="s">
        <v>2546</v>
      </c>
      <c r="C2053" s="4" t="str">
        <f>HYPERLINK("http://www.rncp.cncp.gouv.fr/grand-public/visualisationFiche?format=fr&amp;fiche=4503","4503")</f>
        <v>4503</v>
      </c>
      <c r="D2053" s="4" t="str">
        <f>HYPERLINK("http://www.intercariforef.org/formations/certification-21097.html","21097")</f>
        <v>21097</v>
      </c>
      <c r="E2053" s="5">
        <v>161322</v>
      </c>
      <c r="F2053" s="5" t="s">
        <v>10</v>
      </c>
      <c r="G2053" s="5" t="s">
        <v>11</v>
      </c>
      <c r="H2053" s="3" t="s">
        <v>25</v>
      </c>
    </row>
    <row r="2054" spans="1:8" ht="27.6" x14ac:dyDescent="0.25">
      <c r="A2054" s="3" t="s">
        <v>2317</v>
      </c>
      <c r="B2054" s="3" t="s">
        <v>2547</v>
      </c>
      <c r="C2054" s="5"/>
      <c r="D2054" s="4" t="str">
        <f>HYPERLINK("http://www.intercariforef.org/formations/certification-68950.html","68950")</f>
        <v>68950</v>
      </c>
      <c r="E2054" s="5">
        <v>162907</v>
      </c>
      <c r="F2054" s="5" t="s">
        <v>721</v>
      </c>
      <c r="G2054" s="5" t="s">
        <v>11</v>
      </c>
      <c r="H2054" s="3" t="s">
        <v>2548</v>
      </c>
    </row>
    <row r="2055" spans="1:8" ht="27.6" x14ac:dyDescent="0.25">
      <c r="A2055" s="3" t="s">
        <v>2317</v>
      </c>
      <c r="B2055" s="3" t="s">
        <v>2549</v>
      </c>
      <c r="C2055" s="4" t="str">
        <f>HYPERLINK("http://www.rncp.cncp.gouv.fr/grand-public/visualisationFiche?format=fr&amp;fiche=16328","16328")</f>
        <v>16328</v>
      </c>
      <c r="D2055" s="4" t="str">
        <f>HYPERLINK("http://www.intercariforef.org/formations/certification-31237.html","31237")</f>
        <v>31237</v>
      </c>
      <c r="E2055" s="5">
        <v>161323</v>
      </c>
      <c r="F2055" s="5" t="s">
        <v>10</v>
      </c>
      <c r="G2055" s="5" t="s">
        <v>11</v>
      </c>
      <c r="H2055" s="3" t="s">
        <v>2550</v>
      </c>
    </row>
    <row r="2056" spans="1:8" ht="13.8" x14ac:dyDescent="0.25">
      <c r="A2056" s="3" t="s">
        <v>2317</v>
      </c>
      <c r="B2056" s="3" t="s">
        <v>2551</v>
      </c>
      <c r="C2056" s="4" t="str">
        <f>HYPERLINK("http://www.rncp.cncp.gouv.fr/grand-public/visualisationFiche?format=fr&amp;fiche=5316","5316")</f>
        <v>5316</v>
      </c>
      <c r="D2056" s="4" t="str">
        <f>HYPERLINK("http://www.intercariforef.org/formations/certification-53661.html","53661")</f>
        <v>53661</v>
      </c>
      <c r="E2056" s="5">
        <v>19228</v>
      </c>
      <c r="F2056" s="5" t="s">
        <v>10</v>
      </c>
      <c r="G2056" s="5" t="s">
        <v>11</v>
      </c>
      <c r="H2056" s="3" t="s">
        <v>2552</v>
      </c>
    </row>
    <row r="2057" spans="1:8" ht="27.6" x14ac:dyDescent="0.25">
      <c r="A2057" s="3" t="s">
        <v>2317</v>
      </c>
      <c r="B2057" s="3" t="s">
        <v>2553</v>
      </c>
      <c r="C2057" s="4" t="str">
        <f>HYPERLINK("http://www.rncp.cncp.gouv.fr/grand-public/visualisationFiche?format=fr&amp;fiche=16866","16866")</f>
        <v>16866</v>
      </c>
      <c r="D2057" s="4" t="str">
        <f>HYPERLINK("http://www.intercariforef.org/formations/certification-81327.html","81327")</f>
        <v>81327</v>
      </c>
      <c r="E2057" s="5">
        <v>2177</v>
      </c>
      <c r="F2057" s="5" t="s">
        <v>10</v>
      </c>
      <c r="G2057" s="5" t="s">
        <v>11</v>
      </c>
      <c r="H2057" s="3" t="s">
        <v>1937</v>
      </c>
    </row>
    <row r="2058" spans="1:8" ht="13.8" x14ac:dyDescent="0.25">
      <c r="A2058" s="3" t="s">
        <v>2317</v>
      </c>
      <c r="B2058" s="3" t="s">
        <v>2554</v>
      </c>
      <c r="C2058" s="4" t="str">
        <f>HYPERLINK("http://www.rncp.cncp.gouv.fr/grand-public/visualisationFiche?format=fr&amp;fiche=16583","16583")</f>
        <v>16583</v>
      </c>
      <c r="D2058" s="4" t="str">
        <f>HYPERLINK("http://www.intercariforef.org/formations/certification-81090.html","81090")</f>
        <v>81090</v>
      </c>
      <c r="E2058" s="5">
        <v>16239</v>
      </c>
      <c r="F2058" s="5" t="s">
        <v>10</v>
      </c>
      <c r="G2058" s="5" t="s">
        <v>11</v>
      </c>
      <c r="H2058" s="3" t="s">
        <v>2313</v>
      </c>
    </row>
    <row r="2059" spans="1:8" ht="27.6" x14ac:dyDescent="0.25">
      <c r="A2059" s="3" t="s">
        <v>2317</v>
      </c>
      <c r="B2059" s="3" t="s">
        <v>2555</v>
      </c>
      <c r="C2059" s="4" t="str">
        <f>HYPERLINK("http://www.rncp.cncp.gouv.fr/grand-public/visualisationFiche?format=fr&amp;fiche=17165","17165")</f>
        <v>17165</v>
      </c>
      <c r="D2059" s="4" t="str">
        <f>HYPERLINK("http://www.intercariforef.org/formations/certification-47308.html","47308")</f>
        <v>47308</v>
      </c>
      <c r="E2059" s="5">
        <v>142293</v>
      </c>
      <c r="F2059" s="5" t="s">
        <v>10</v>
      </c>
      <c r="G2059" s="5" t="s">
        <v>11</v>
      </c>
      <c r="H2059" s="3" t="s">
        <v>2556</v>
      </c>
    </row>
    <row r="2060" spans="1:8" ht="27.6" x14ac:dyDescent="0.25">
      <c r="A2060" s="3" t="s">
        <v>2317</v>
      </c>
      <c r="B2060" s="3" t="s">
        <v>2557</v>
      </c>
      <c r="C2060" s="4" t="str">
        <f>HYPERLINK("http://www.rncp.cncp.gouv.fr/grand-public/visualisationFiche?format=fr&amp;fiche=12963","12963")</f>
        <v>12963</v>
      </c>
      <c r="D2060" s="4" t="str">
        <f>HYPERLINK("http://www.intercariforef.org/formations/certification-76226.html","76226")</f>
        <v>76226</v>
      </c>
      <c r="E2060" s="5">
        <v>130868</v>
      </c>
      <c r="F2060" s="5" t="s">
        <v>10</v>
      </c>
      <c r="G2060" s="5" t="s">
        <v>11</v>
      </c>
      <c r="H2060" s="3" t="s">
        <v>2211</v>
      </c>
    </row>
    <row r="2061" spans="1:8" ht="13.8" x14ac:dyDescent="0.25">
      <c r="A2061" s="3" t="s">
        <v>2317</v>
      </c>
      <c r="B2061" s="3" t="s">
        <v>2558</v>
      </c>
      <c r="C2061" s="4" t="str">
        <f>HYPERLINK("http://www.rncp.cncp.gouv.fr/grand-public/visualisationFiche?format=fr&amp;fiche=16871","16871")</f>
        <v>16871</v>
      </c>
      <c r="D2061" s="4" t="str">
        <f>HYPERLINK("http://www.intercariforef.org/formations/certification-82030.html","82030")</f>
        <v>82030</v>
      </c>
      <c r="E2061" s="5">
        <v>142295</v>
      </c>
      <c r="F2061" s="5" t="s">
        <v>10</v>
      </c>
      <c r="G2061" s="5" t="s">
        <v>11</v>
      </c>
      <c r="H2061" s="3" t="s">
        <v>2258</v>
      </c>
    </row>
    <row r="2062" spans="1:8" ht="13.8" x14ac:dyDescent="0.25">
      <c r="A2062" s="3" t="s">
        <v>2317</v>
      </c>
      <c r="B2062" s="3" t="s">
        <v>2559</v>
      </c>
      <c r="C2062" s="4" t="str">
        <f>HYPERLINK("http://www.rncp.cncp.gouv.fr/grand-public/visualisationFiche?format=fr&amp;fiche=6926","6926")</f>
        <v>6926</v>
      </c>
      <c r="D2062" s="4" t="str">
        <f>HYPERLINK("http://www.intercariforef.org/formations/certification-58475.html","58475")</f>
        <v>58475</v>
      </c>
      <c r="E2062" s="5">
        <v>142296</v>
      </c>
      <c r="F2062" s="5" t="s">
        <v>10</v>
      </c>
      <c r="G2062" s="5" t="s">
        <v>11</v>
      </c>
      <c r="H2062" s="3" t="s">
        <v>81</v>
      </c>
    </row>
    <row r="2063" spans="1:8" ht="13.8" x14ac:dyDescent="0.25">
      <c r="A2063" s="3" t="s">
        <v>2317</v>
      </c>
      <c r="B2063" s="3" t="s">
        <v>2560</v>
      </c>
      <c r="C2063" s="4" t="str">
        <f>HYPERLINK("http://www.rncp.cncp.gouv.fr/grand-public/visualisationFiche?format=fr&amp;fiche=1173","1173")</f>
        <v>1173</v>
      </c>
      <c r="D2063" s="4" t="str">
        <f>HYPERLINK("http://www.intercariforef.org/formations/certification-20635.html","20635")</f>
        <v>20635</v>
      </c>
      <c r="E2063" s="5">
        <v>130871</v>
      </c>
      <c r="F2063" s="5" t="s">
        <v>10</v>
      </c>
      <c r="G2063" s="5" t="s">
        <v>11</v>
      </c>
      <c r="H2063" s="3" t="s">
        <v>81</v>
      </c>
    </row>
    <row r="2064" spans="1:8" ht="13.8" x14ac:dyDescent="0.25">
      <c r="A2064" s="3" t="s">
        <v>2317</v>
      </c>
      <c r="B2064" s="3" t="s">
        <v>2561</v>
      </c>
      <c r="C2064" s="4" t="str">
        <f>HYPERLINK("http://www.rncp.cncp.gouv.fr/grand-public/visualisationFiche?format=fr&amp;fiche=880","880")</f>
        <v>880</v>
      </c>
      <c r="D2064" s="4" t="str">
        <f>HYPERLINK("http://www.intercariforef.org/formations/certification-20641.html","20641")</f>
        <v>20641</v>
      </c>
      <c r="E2064" s="5">
        <v>142297</v>
      </c>
      <c r="F2064" s="5" t="s">
        <v>10</v>
      </c>
      <c r="G2064" s="5" t="s">
        <v>11</v>
      </c>
      <c r="H2064" s="3" t="s">
        <v>81</v>
      </c>
    </row>
    <row r="2065" spans="1:8" ht="13.8" x14ac:dyDescent="0.25">
      <c r="A2065" s="3" t="s">
        <v>2317</v>
      </c>
      <c r="B2065" s="3" t="s">
        <v>2562</v>
      </c>
      <c r="C2065" s="4" t="str">
        <f>HYPERLINK("http://www.rncp.cncp.gouv.fr/grand-public/visualisationFiche?format=fr&amp;fiche=852","852")</f>
        <v>852</v>
      </c>
      <c r="D2065" s="4" t="str">
        <f>HYPERLINK("http://www.intercariforef.org/formations/certification-20650.html","20650")</f>
        <v>20650</v>
      </c>
      <c r="E2065" s="5">
        <v>130872</v>
      </c>
      <c r="F2065" s="5" t="s">
        <v>10</v>
      </c>
      <c r="G2065" s="5" t="s">
        <v>11</v>
      </c>
      <c r="H2065" s="3" t="s">
        <v>81</v>
      </c>
    </row>
    <row r="2066" spans="1:8" ht="13.8" x14ac:dyDescent="0.25">
      <c r="A2066" s="3" t="s">
        <v>2317</v>
      </c>
      <c r="B2066" s="3" t="s">
        <v>2563</v>
      </c>
      <c r="C2066" s="4" t="str">
        <f>HYPERLINK("http://www.rncp.cncp.gouv.fr/grand-public/visualisationFiche?format=fr&amp;fiche=9154","9154")</f>
        <v>9154</v>
      </c>
      <c r="D2066" s="4" t="str">
        <f>HYPERLINK("http://www.intercariforef.org/formations/certification-66250.html","66250")</f>
        <v>66250</v>
      </c>
      <c r="E2066" s="5">
        <v>150729</v>
      </c>
      <c r="F2066" s="5" t="s">
        <v>10</v>
      </c>
      <c r="G2066" s="5" t="s">
        <v>11</v>
      </c>
      <c r="H2066" s="3" t="s">
        <v>81</v>
      </c>
    </row>
    <row r="2067" spans="1:8" ht="13.8" x14ac:dyDescent="0.25">
      <c r="A2067" s="3" t="s">
        <v>2317</v>
      </c>
      <c r="B2067" s="3" t="s">
        <v>2564</v>
      </c>
      <c r="C2067" s="4" t="str">
        <f>HYPERLINK("http://www.rncp.cncp.gouv.fr/grand-public/visualisationFiche?format=fr&amp;fiche=2506","2506")</f>
        <v>2506</v>
      </c>
      <c r="D2067" s="4" t="str">
        <f>HYPERLINK("http://www.intercariforef.org/formations/certification-20656.html","20656")</f>
        <v>20656</v>
      </c>
      <c r="E2067" s="5">
        <v>130869</v>
      </c>
      <c r="F2067" s="5" t="s">
        <v>10</v>
      </c>
      <c r="G2067" s="5" t="s">
        <v>11</v>
      </c>
      <c r="H2067" s="3" t="s">
        <v>81</v>
      </c>
    </row>
    <row r="2068" spans="1:8" ht="27.6" x14ac:dyDescent="0.25">
      <c r="A2068" s="3" t="s">
        <v>2317</v>
      </c>
      <c r="B2068" s="3" t="s">
        <v>2565</v>
      </c>
      <c r="C2068" s="4" t="str">
        <f>HYPERLINK("http://www.rncp.cncp.gouv.fr/grand-public/visualisationFiche?format=fr&amp;fiche=6904","6904")</f>
        <v>6904</v>
      </c>
      <c r="D2068" s="4" t="str">
        <f>HYPERLINK("http://www.intercariforef.org/formations/certification-63320.html","63320")</f>
        <v>63320</v>
      </c>
      <c r="E2068" s="5">
        <v>2164</v>
      </c>
      <c r="F2068" s="5" t="s">
        <v>10</v>
      </c>
      <c r="G2068" s="5" t="s">
        <v>11</v>
      </c>
      <c r="H2068" s="3" t="s">
        <v>1937</v>
      </c>
    </row>
    <row r="2069" spans="1:8" ht="13.8" x14ac:dyDescent="0.25">
      <c r="A2069" s="3" t="s">
        <v>2317</v>
      </c>
      <c r="B2069" s="3" t="s">
        <v>2566</v>
      </c>
      <c r="C2069" s="4" t="str">
        <f>HYPERLINK("http://www.rncp.cncp.gouv.fr/grand-public/visualisationFiche?format=fr&amp;fiche=12048","12048")</f>
        <v>12048</v>
      </c>
      <c r="D2069" s="4" t="str">
        <f>HYPERLINK("http://www.intercariforef.org/formations/certification-72713.html","72713")</f>
        <v>72713</v>
      </c>
      <c r="E2069" s="5">
        <v>130873</v>
      </c>
      <c r="F2069" s="5" t="s">
        <v>10</v>
      </c>
      <c r="G2069" s="5" t="s">
        <v>11</v>
      </c>
      <c r="H2069" s="3" t="s">
        <v>2567</v>
      </c>
    </row>
    <row r="2070" spans="1:8" ht="27.6" x14ac:dyDescent="0.25">
      <c r="A2070" s="3" t="s">
        <v>2317</v>
      </c>
      <c r="B2070" s="3" t="s">
        <v>2568</v>
      </c>
      <c r="C2070" s="4" t="str">
        <f>HYPERLINK("http://www.rncp.cncp.gouv.fr/grand-public/visualisationFiche?format=fr&amp;fiche=5721","5721")</f>
        <v>5721</v>
      </c>
      <c r="D2070" s="4" t="str">
        <f>HYPERLINK("http://www.intercariforef.org/formations/certification-58055.html","58055")</f>
        <v>58055</v>
      </c>
      <c r="E2070" s="5">
        <v>142299</v>
      </c>
      <c r="F2070" s="5" t="s">
        <v>10</v>
      </c>
      <c r="G2070" s="5" t="s">
        <v>11</v>
      </c>
      <c r="H2070" s="3" t="s">
        <v>2569</v>
      </c>
    </row>
    <row r="2071" spans="1:8" ht="27.6" x14ac:dyDescent="0.25">
      <c r="A2071" s="3" t="s">
        <v>2317</v>
      </c>
      <c r="B2071" s="3" t="s">
        <v>2570</v>
      </c>
      <c r="C2071" s="4" t="str">
        <f>HYPERLINK("http://www.rncp.cncp.gouv.fr/grand-public/visualisationFiche?format=fr&amp;fiche=6901","6901")</f>
        <v>6901</v>
      </c>
      <c r="D2071" s="4" t="str">
        <f>HYPERLINK("http://www.intercariforef.org/formations/certification-62980.html","62980")</f>
        <v>62980</v>
      </c>
      <c r="E2071" s="5">
        <v>140152</v>
      </c>
      <c r="F2071" s="5" t="s">
        <v>10</v>
      </c>
      <c r="G2071" s="5" t="s">
        <v>11</v>
      </c>
      <c r="H2071" s="3" t="s">
        <v>1937</v>
      </c>
    </row>
    <row r="2072" spans="1:8" ht="13.8" x14ac:dyDescent="0.25">
      <c r="A2072" s="3" t="s">
        <v>2317</v>
      </c>
      <c r="B2072" s="3" t="s">
        <v>2571</v>
      </c>
      <c r="C2072" s="4" t="str">
        <f>HYPERLINK("http://www.rncp.cncp.gouv.fr/grand-public/visualisationFiche?format=fr&amp;fiche=5386","5386")</f>
        <v>5386</v>
      </c>
      <c r="D2072" s="4" t="str">
        <f>HYPERLINK("http://www.intercariforef.org/formations/certification-55412.html","55412")</f>
        <v>55412</v>
      </c>
      <c r="E2072" s="5">
        <v>142300</v>
      </c>
      <c r="F2072" s="5" t="s">
        <v>10</v>
      </c>
      <c r="G2072" s="5" t="s">
        <v>11</v>
      </c>
      <c r="H2072" s="3" t="s">
        <v>2225</v>
      </c>
    </row>
    <row r="2073" spans="1:8" ht="13.8" x14ac:dyDescent="0.25">
      <c r="A2073" s="3" t="s">
        <v>2317</v>
      </c>
      <c r="B2073" s="3" t="s">
        <v>2572</v>
      </c>
      <c r="C2073" s="4" t="str">
        <f>HYPERLINK("http://www.rncp.cncp.gouv.fr/grand-public/visualisationFiche?format=fr&amp;fiche=11494","11494")</f>
        <v>11494</v>
      </c>
      <c r="D2073" s="4" t="str">
        <f>HYPERLINK("http://www.intercariforef.org/formations/certification-31430.html","31430")</f>
        <v>31430</v>
      </c>
      <c r="E2073" s="5">
        <v>142301</v>
      </c>
      <c r="F2073" s="5" t="s">
        <v>10</v>
      </c>
      <c r="G2073" s="5" t="s">
        <v>11</v>
      </c>
      <c r="H2073" s="3" t="s">
        <v>2573</v>
      </c>
    </row>
    <row r="2074" spans="1:8" ht="13.8" x14ac:dyDescent="0.25">
      <c r="A2074" s="3" t="s">
        <v>2317</v>
      </c>
      <c r="B2074" s="3" t="s">
        <v>2574</v>
      </c>
      <c r="C2074" s="4" t="str">
        <f>HYPERLINK("http://www.rncp.cncp.gouv.fr/grand-public/visualisationFiche?format=fr&amp;fiche=4444","4444")</f>
        <v>4444</v>
      </c>
      <c r="D2074" s="4" t="str">
        <f>HYPERLINK("http://www.intercariforef.org/formations/certification-50757.html","50757")</f>
        <v>50757</v>
      </c>
      <c r="E2074" s="5">
        <v>142302</v>
      </c>
      <c r="F2074" s="5" t="s">
        <v>10</v>
      </c>
      <c r="G2074" s="5" t="s">
        <v>11</v>
      </c>
      <c r="H2074" s="3" t="s">
        <v>2575</v>
      </c>
    </row>
    <row r="2075" spans="1:8" ht="13.8" x14ac:dyDescent="0.25">
      <c r="A2075" s="3" t="s">
        <v>2317</v>
      </c>
      <c r="B2075" s="3" t="s">
        <v>2576</v>
      </c>
      <c r="C2075" s="4" t="str">
        <f>HYPERLINK("http://www.rncp.cncp.gouv.fr/grand-public/visualisationFiche?format=fr&amp;fiche=1592","1592")</f>
        <v>1592</v>
      </c>
      <c r="D2075" s="4" t="str">
        <f>HYPERLINK("http://www.intercariforef.org/formations/certification-53940.html","53940")</f>
        <v>53940</v>
      </c>
      <c r="E2075" s="5">
        <v>142303</v>
      </c>
      <c r="F2075" s="5" t="s">
        <v>10</v>
      </c>
      <c r="G2075" s="5" t="s">
        <v>11</v>
      </c>
      <c r="H2075" s="3" t="s">
        <v>2577</v>
      </c>
    </row>
    <row r="2076" spans="1:8" ht="27.6" x14ac:dyDescent="0.25">
      <c r="A2076" s="3" t="s">
        <v>2317</v>
      </c>
      <c r="B2076" s="3" t="s">
        <v>2578</v>
      </c>
      <c r="C2076" s="4" t="str">
        <f>HYPERLINK("http://www.rncp.cncp.gouv.fr/grand-public/visualisationFiche?format=fr&amp;fiche=13588","13588")</f>
        <v>13588</v>
      </c>
      <c r="D2076" s="4" t="str">
        <f>HYPERLINK("http://www.intercariforef.org/formations/certification-31446.html","31446")</f>
        <v>31446</v>
      </c>
      <c r="E2076" s="5">
        <v>142304</v>
      </c>
      <c r="F2076" s="5" t="s">
        <v>10</v>
      </c>
      <c r="G2076" s="5" t="s">
        <v>11</v>
      </c>
      <c r="H2076" s="3" t="s">
        <v>2529</v>
      </c>
    </row>
    <row r="2077" spans="1:8" ht="13.8" x14ac:dyDescent="0.25">
      <c r="A2077" s="3" t="s">
        <v>2317</v>
      </c>
      <c r="B2077" s="3" t="s">
        <v>2579</v>
      </c>
      <c r="C2077" s="4" t="str">
        <f>HYPERLINK("http://www.rncp.cncp.gouv.fr/grand-public/visualisationFiche?format=fr&amp;fiche=14248","14248")</f>
        <v>14248</v>
      </c>
      <c r="D2077" s="4" t="str">
        <f>HYPERLINK("http://www.intercariforef.org/formations/certification-77549.html","77549")</f>
        <v>77549</v>
      </c>
      <c r="E2077" s="5">
        <v>2178</v>
      </c>
      <c r="F2077" s="5" t="s">
        <v>10</v>
      </c>
      <c r="G2077" s="5" t="s">
        <v>11</v>
      </c>
      <c r="H2077" s="3" t="s">
        <v>1860</v>
      </c>
    </row>
    <row r="2078" spans="1:8" ht="27.6" x14ac:dyDescent="0.25">
      <c r="A2078" s="3" t="s">
        <v>2317</v>
      </c>
      <c r="B2078" s="3" t="s">
        <v>2580</v>
      </c>
      <c r="C2078" s="4" t="str">
        <f>HYPERLINK("http://www.rncp.cncp.gouv.fr/grand-public/visualisationFiche?format=fr&amp;fiche=13343","13343")</f>
        <v>13343</v>
      </c>
      <c r="D2078" s="4" t="str">
        <f>HYPERLINK("http://www.intercariforef.org/formations/certification-76737.html","76737")</f>
        <v>76737</v>
      </c>
      <c r="E2078" s="5">
        <v>142305</v>
      </c>
      <c r="F2078" s="5" t="s">
        <v>10</v>
      </c>
      <c r="G2078" s="5" t="s">
        <v>11</v>
      </c>
      <c r="H2078" s="3" t="s">
        <v>2529</v>
      </c>
    </row>
    <row r="2079" spans="1:8" ht="27.6" x14ac:dyDescent="0.25">
      <c r="A2079" s="3" t="s">
        <v>2317</v>
      </c>
      <c r="B2079" s="3" t="s">
        <v>2581</v>
      </c>
      <c r="C2079" s="4" t="str">
        <f>HYPERLINK("http://www.rncp.cncp.gouv.fr/grand-public/visualisationFiche?format=fr&amp;fiche=17197","17197")</f>
        <v>17197</v>
      </c>
      <c r="D2079" s="4" t="str">
        <f>HYPERLINK("http://www.intercariforef.org/formations/certification-81521.html","81521")</f>
        <v>81521</v>
      </c>
      <c r="E2079" s="5">
        <v>142306</v>
      </c>
      <c r="F2079" s="5" t="s">
        <v>10</v>
      </c>
      <c r="G2079" s="5" t="s">
        <v>11</v>
      </c>
      <c r="H2079" s="3" t="s">
        <v>2582</v>
      </c>
    </row>
    <row r="2080" spans="1:8" ht="13.8" x14ac:dyDescent="0.25">
      <c r="A2080" s="3" t="s">
        <v>2317</v>
      </c>
      <c r="B2080" s="3" t="s">
        <v>2583</v>
      </c>
      <c r="C2080" s="4" t="str">
        <f>HYPERLINK("http://www.rncp.cncp.gouv.fr/grand-public/visualisationFiche?format=fr&amp;fiche=16187","16187")</f>
        <v>16187</v>
      </c>
      <c r="D2080" s="4" t="str">
        <f>HYPERLINK("http://www.intercariforef.org/formations/certification-80779.html","80779")</f>
        <v>80779</v>
      </c>
      <c r="E2080" s="5">
        <v>142307</v>
      </c>
      <c r="F2080" s="5" t="s">
        <v>10</v>
      </c>
      <c r="G2080" s="5" t="s">
        <v>11</v>
      </c>
      <c r="H2080" s="3" t="s">
        <v>2584</v>
      </c>
    </row>
    <row r="2081" spans="1:8" ht="27.6" x14ac:dyDescent="0.25">
      <c r="A2081" s="3" t="s">
        <v>2317</v>
      </c>
      <c r="B2081" s="3" t="s">
        <v>2585</v>
      </c>
      <c r="C2081" s="4" t="str">
        <f>HYPERLINK("http://www.rncp.cncp.gouv.fr/grand-public/visualisationFiche?format=fr&amp;fiche=4396","4396")</f>
        <v>4396</v>
      </c>
      <c r="D2081" s="4" t="str">
        <f>HYPERLINK("http://www.intercariforef.org/formations/certification-31559.html","31559")</f>
        <v>31559</v>
      </c>
      <c r="E2081" s="5">
        <v>2179</v>
      </c>
      <c r="F2081" s="5" t="s">
        <v>10</v>
      </c>
      <c r="G2081" s="5" t="s">
        <v>11</v>
      </c>
      <c r="H2081" s="3" t="s">
        <v>2243</v>
      </c>
    </row>
    <row r="2082" spans="1:8" ht="13.8" x14ac:dyDescent="0.25">
      <c r="A2082" s="3" t="s">
        <v>2317</v>
      </c>
      <c r="B2082" s="3" t="s">
        <v>2586</v>
      </c>
      <c r="C2082" s="4" t="str">
        <f>HYPERLINK("http://www.rncp.cncp.gouv.fr/grand-public/visualisationFiche?format=fr&amp;fiche=19440","19440")</f>
        <v>19440</v>
      </c>
      <c r="D2082" s="4" t="str">
        <f>HYPERLINK("http://www.intercariforef.org/formations/certification-83197.html","83197")</f>
        <v>83197</v>
      </c>
      <c r="E2082" s="5">
        <v>2181</v>
      </c>
      <c r="F2082" s="5" t="s">
        <v>10</v>
      </c>
      <c r="G2082" s="5" t="s">
        <v>11</v>
      </c>
      <c r="H2082" s="3" t="s">
        <v>1871</v>
      </c>
    </row>
    <row r="2083" spans="1:8" ht="13.8" x14ac:dyDescent="0.25">
      <c r="A2083" s="3" t="s">
        <v>2317</v>
      </c>
      <c r="B2083" s="3" t="s">
        <v>2587</v>
      </c>
      <c r="C2083" s="4" t="str">
        <f>HYPERLINK("http://www.rncp.cncp.gouv.fr/grand-public/visualisationFiche?format=fr&amp;fiche=15158","15158")</f>
        <v>15158</v>
      </c>
      <c r="D2083" s="4" t="str">
        <f>HYPERLINK("http://www.intercariforef.org/formations/certification-78897.html","78897")</f>
        <v>78897</v>
      </c>
      <c r="E2083" s="5">
        <v>2180</v>
      </c>
      <c r="F2083" s="5" t="s">
        <v>10</v>
      </c>
      <c r="G2083" s="5" t="s">
        <v>11</v>
      </c>
      <c r="H2083" s="3" t="s">
        <v>1066</v>
      </c>
    </row>
    <row r="2084" spans="1:8" ht="13.8" x14ac:dyDescent="0.25">
      <c r="A2084" s="3" t="s">
        <v>2317</v>
      </c>
      <c r="B2084" s="3" t="s">
        <v>2588</v>
      </c>
      <c r="C2084" s="4" t="str">
        <f>HYPERLINK("http://www.rncp.cncp.gouv.fr/grand-public/visualisationFiche?format=fr&amp;fiche=5481","5481")</f>
        <v>5481</v>
      </c>
      <c r="D2084" s="4" t="str">
        <f>HYPERLINK("http://www.intercariforef.org/formations/certification-49670.html","49670")</f>
        <v>49670</v>
      </c>
      <c r="E2084" s="5">
        <v>142308</v>
      </c>
      <c r="F2084" s="5" t="s">
        <v>10</v>
      </c>
      <c r="G2084" s="5" t="s">
        <v>11</v>
      </c>
      <c r="H2084" s="3" t="s">
        <v>2589</v>
      </c>
    </row>
    <row r="2085" spans="1:8" ht="13.8" x14ac:dyDescent="0.25">
      <c r="A2085" s="3" t="s">
        <v>2317</v>
      </c>
      <c r="B2085" s="3" t="s">
        <v>2590</v>
      </c>
      <c r="C2085" s="4" t="str">
        <f>HYPERLINK("http://www.rncp.cncp.gouv.fr/grand-public/visualisationFiche?format=fr&amp;fiche=5497","5497")</f>
        <v>5497</v>
      </c>
      <c r="D2085" s="4" t="str">
        <f>HYPERLINK("http://www.intercariforef.org/formations/certification-56097.html","56097")</f>
        <v>56097</v>
      </c>
      <c r="E2085" s="5">
        <v>142309</v>
      </c>
      <c r="F2085" s="5" t="s">
        <v>10</v>
      </c>
      <c r="G2085" s="5" t="s">
        <v>11</v>
      </c>
      <c r="H2085" s="3" t="s">
        <v>2591</v>
      </c>
    </row>
    <row r="2086" spans="1:8" ht="27.6" x14ac:dyDescent="0.25">
      <c r="A2086" s="3" t="s">
        <v>2317</v>
      </c>
      <c r="B2086" s="3" t="s">
        <v>2592</v>
      </c>
      <c r="C2086" s="4" t="str">
        <f>HYPERLINK("http://www.rncp.cncp.gouv.fr/grand-public/visualisationFiche?format=fr&amp;fiche=13677","13677")</f>
        <v>13677</v>
      </c>
      <c r="D2086" s="4" t="str">
        <f>HYPERLINK("http://www.intercariforef.org/formations/certification-31569.html","31569")</f>
        <v>31569</v>
      </c>
      <c r="E2086" s="5">
        <v>142310</v>
      </c>
      <c r="F2086" s="5" t="s">
        <v>10</v>
      </c>
      <c r="G2086" s="5" t="s">
        <v>11</v>
      </c>
      <c r="H2086" s="3" t="s">
        <v>2550</v>
      </c>
    </row>
    <row r="2087" spans="1:8" ht="27.6" x14ac:dyDescent="0.25">
      <c r="A2087" s="3" t="s">
        <v>2317</v>
      </c>
      <c r="B2087" s="3" t="s">
        <v>2593</v>
      </c>
      <c r="C2087" s="4" t="str">
        <f>HYPERLINK("http://www.rncp.cncp.gouv.fr/grand-public/visualisationFiche?format=fr&amp;fiche=12815","12815")</f>
        <v>12815</v>
      </c>
      <c r="D2087" s="4" t="str">
        <f>HYPERLINK("http://www.intercariforef.org/formations/certification-76029.html","76029")</f>
        <v>76029</v>
      </c>
      <c r="E2087" s="5">
        <v>142311</v>
      </c>
      <c r="F2087" s="5" t="s">
        <v>10</v>
      </c>
      <c r="G2087" s="5" t="s">
        <v>11</v>
      </c>
      <c r="H2087" s="3" t="s">
        <v>2321</v>
      </c>
    </row>
    <row r="2088" spans="1:8" ht="13.8" x14ac:dyDescent="0.25">
      <c r="A2088" s="3" t="s">
        <v>2317</v>
      </c>
      <c r="B2088" s="3" t="s">
        <v>2594</v>
      </c>
      <c r="C2088" s="4" t="str">
        <f>HYPERLINK("http://www.rncp.cncp.gouv.fr/grand-public/visualisationFiche?format=fr&amp;fiche=2704","2704")</f>
        <v>2704</v>
      </c>
      <c r="D2088" s="4" t="str">
        <f>HYPERLINK("http://www.intercariforef.org/formations/certification-31582.html","31582")</f>
        <v>31582</v>
      </c>
      <c r="E2088" s="5">
        <v>2182</v>
      </c>
      <c r="F2088" s="5" t="s">
        <v>10</v>
      </c>
      <c r="G2088" s="5" t="s">
        <v>11</v>
      </c>
      <c r="H2088" s="3" t="s">
        <v>1066</v>
      </c>
    </row>
    <row r="2089" spans="1:8" ht="27.6" x14ac:dyDescent="0.25">
      <c r="A2089" s="3" t="s">
        <v>2317</v>
      </c>
      <c r="B2089" s="3" t="s">
        <v>2595</v>
      </c>
      <c r="C2089" s="4" t="str">
        <f>HYPERLINK("http://www.rncp.cncp.gouv.fr/grand-public/visualisationFiche?format=fr&amp;fiche=13338","13338")</f>
        <v>13338</v>
      </c>
      <c r="D2089" s="4" t="str">
        <f>HYPERLINK("http://www.intercariforef.org/formations/certification-76733.html","76733")</f>
        <v>76733</v>
      </c>
      <c r="E2089" s="5">
        <v>142313</v>
      </c>
      <c r="F2089" s="5" t="s">
        <v>10</v>
      </c>
      <c r="G2089" s="5" t="s">
        <v>11</v>
      </c>
      <c r="H2089" s="3" t="s">
        <v>2596</v>
      </c>
    </row>
    <row r="2090" spans="1:8" ht="27.6" x14ac:dyDescent="0.25">
      <c r="A2090" s="3" t="s">
        <v>2317</v>
      </c>
      <c r="B2090" s="3" t="s">
        <v>2597</v>
      </c>
      <c r="C2090" s="4" t="str">
        <f>HYPERLINK("http://www.rncp.cncp.gouv.fr/grand-public/visualisationFiche?format=fr&amp;fiche=19371","19371")</f>
        <v>19371</v>
      </c>
      <c r="D2090" s="4" t="str">
        <f>HYPERLINK("http://www.intercariforef.org/formations/certification-53950.html","53950")</f>
        <v>53950</v>
      </c>
      <c r="E2090" s="5">
        <v>142415</v>
      </c>
      <c r="F2090" s="5" t="s">
        <v>10</v>
      </c>
      <c r="G2090" s="5" t="s">
        <v>11</v>
      </c>
      <c r="H2090" s="3" t="s">
        <v>2598</v>
      </c>
    </row>
    <row r="2091" spans="1:8" ht="13.8" x14ac:dyDescent="0.25">
      <c r="A2091" s="3" t="s">
        <v>2317</v>
      </c>
      <c r="B2091" s="3" t="s">
        <v>2599</v>
      </c>
      <c r="C2091" s="4" t="str">
        <f>HYPERLINK("http://www.rncp.cncp.gouv.fr/grand-public/visualisationFiche?format=fr&amp;fiche=7412","7412")</f>
        <v>7412</v>
      </c>
      <c r="D2091" s="4" t="str">
        <f>HYPERLINK("http://www.intercariforef.org/formations/certification-63679.html","63679")</f>
        <v>63679</v>
      </c>
      <c r="E2091" s="5">
        <v>142417</v>
      </c>
      <c r="F2091" s="5" t="s">
        <v>10</v>
      </c>
      <c r="G2091" s="5" t="s">
        <v>11</v>
      </c>
      <c r="H2091" s="3" t="s">
        <v>1740</v>
      </c>
    </row>
    <row r="2092" spans="1:8" ht="13.8" x14ac:dyDescent="0.25">
      <c r="A2092" s="3" t="s">
        <v>2317</v>
      </c>
      <c r="B2092" s="3" t="s">
        <v>2600</v>
      </c>
      <c r="C2092" s="4" t="str">
        <f>HYPERLINK("http://www.rncp.cncp.gouv.fr/grand-public/visualisationFiche?format=fr&amp;fiche=4827","4827")</f>
        <v>4827</v>
      </c>
      <c r="D2092" s="4" t="str">
        <f>HYPERLINK("http://www.intercariforef.org/formations/certification-53270.html","53270")</f>
        <v>53270</v>
      </c>
      <c r="E2092" s="5">
        <v>142416</v>
      </c>
      <c r="F2092" s="5" t="s">
        <v>10</v>
      </c>
      <c r="G2092" s="5" t="s">
        <v>11</v>
      </c>
      <c r="H2092" s="3" t="s">
        <v>2601</v>
      </c>
    </row>
    <row r="2093" spans="1:8" ht="13.8" x14ac:dyDescent="0.25">
      <c r="A2093" s="3" t="s">
        <v>2317</v>
      </c>
      <c r="B2093" s="3" t="s">
        <v>2602</v>
      </c>
      <c r="C2093" s="4" t="str">
        <f>HYPERLINK("http://www.rncp.cncp.gouv.fr/grand-public/visualisationFiche?format=fr&amp;fiche=4827","4827")</f>
        <v>4827</v>
      </c>
      <c r="D2093" s="4" t="str">
        <f>HYPERLINK("http://www.intercariforef.org/formations/certification-64384.html","64384")</f>
        <v>64384</v>
      </c>
      <c r="E2093" s="5">
        <v>142419</v>
      </c>
      <c r="F2093" s="5" t="s">
        <v>10</v>
      </c>
      <c r="G2093" s="5" t="s">
        <v>11</v>
      </c>
      <c r="H2093" s="3" t="s">
        <v>2601</v>
      </c>
    </row>
    <row r="2094" spans="1:8" ht="13.8" x14ac:dyDescent="0.25">
      <c r="A2094" s="3" t="s">
        <v>2317</v>
      </c>
      <c r="B2094" s="3" t="s">
        <v>2603</v>
      </c>
      <c r="C2094" s="4" t="str">
        <f>HYPERLINK("http://www.rncp.cncp.gouv.fr/grand-public/visualisationFiche?format=fr&amp;fiche=4827","4827")</f>
        <v>4827</v>
      </c>
      <c r="D2094" s="4" t="str">
        <f>HYPERLINK("http://www.intercariforef.org/formations/certification-64383.html","64383")</f>
        <v>64383</v>
      </c>
      <c r="E2094" s="5">
        <v>142418</v>
      </c>
      <c r="F2094" s="5" t="s">
        <v>10</v>
      </c>
      <c r="G2094" s="5" t="s">
        <v>11</v>
      </c>
      <c r="H2094" s="3" t="s">
        <v>2601</v>
      </c>
    </row>
    <row r="2095" spans="1:8" ht="13.8" x14ac:dyDescent="0.25">
      <c r="A2095" s="3" t="s">
        <v>2317</v>
      </c>
      <c r="B2095" s="3" t="s">
        <v>2604</v>
      </c>
      <c r="C2095" s="4" t="str">
        <f>HYPERLINK("http://www.rncp.cncp.gouv.fr/grand-public/visualisationFiche?format=fr&amp;fiche=12964","12964")</f>
        <v>12964</v>
      </c>
      <c r="D2095" s="4" t="str">
        <f>HYPERLINK("http://www.intercariforef.org/formations/certification-76229.html","76229")</f>
        <v>76229</v>
      </c>
      <c r="E2095" s="5">
        <v>130875</v>
      </c>
      <c r="F2095" s="5" t="s">
        <v>10</v>
      </c>
      <c r="G2095" s="5" t="s">
        <v>11</v>
      </c>
      <c r="H2095" s="3" t="s">
        <v>2241</v>
      </c>
    </row>
    <row r="2096" spans="1:8" ht="13.8" x14ac:dyDescent="0.25">
      <c r="A2096" s="3" t="s">
        <v>2317</v>
      </c>
      <c r="B2096" s="3" t="s">
        <v>2605</v>
      </c>
      <c r="C2096" s="4" t="str">
        <f>HYPERLINK("http://www.rncp.cncp.gouv.fr/grand-public/visualisationFiche?format=fr&amp;fiche=17198","17198")</f>
        <v>17198</v>
      </c>
      <c r="D2096" s="4" t="str">
        <f>HYPERLINK("http://www.intercariforef.org/formations/certification-31647.html","31647")</f>
        <v>31647</v>
      </c>
      <c r="E2096" s="5">
        <v>142655</v>
      </c>
      <c r="F2096" s="5" t="s">
        <v>10</v>
      </c>
      <c r="G2096" s="5" t="s">
        <v>11</v>
      </c>
      <c r="H2096" s="3" t="s">
        <v>2606</v>
      </c>
    </row>
    <row r="2097" spans="1:8" ht="27.6" x14ac:dyDescent="0.25">
      <c r="A2097" s="3" t="s">
        <v>2317</v>
      </c>
      <c r="B2097" s="3" t="s">
        <v>2607</v>
      </c>
      <c r="C2097" s="4" t="str">
        <f>HYPERLINK("http://www.rncp.cncp.gouv.fr/grand-public/visualisationFiche?format=fr&amp;fiche=12811","12811")</f>
        <v>12811</v>
      </c>
      <c r="D2097" s="4" t="str">
        <f>HYPERLINK("http://www.intercariforef.org/formations/certification-76034.html","76034")</f>
        <v>76034</v>
      </c>
      <c r="E2097" s="5">
        <v>142657</v>
      </c>
      <c r="F2097" s="5" t="s">
        <v>10</v>
      </c>
      <c r="G2097" s="5" t="s">
        <v>11</v>
      </c>
      <c r="H2097" s="3" t="s">
        <v>2264</v>
      </c>
    </row>
    <row r="2098" spans="1:8" ht="13.8" x14ac:dyDescent="0.25">
      <c r="A2098" s="3" t="s">
        <v>2317</v>
      </c>
      <c r="B2098" s="3" t="s">
        <v>2608</v>
      </c>
      <c r="C2098" s="4" t="str">
        <f>HYPERLINK("http://www.rncp.cncp.gouv.fr/grand-public/visualisationFiche?format=fr&amp;fiche=18100","18100")</f>
        <v>18100</v>
      </c>
      <c r="D2098" s="4" t="str">
        <f>HYPERLINK("http://www.intercariforef.org/formations/certification-59622.html","59622")</f>
        <v>59622</v>
      </c>
      <c r="E2098" s="5">
        <v>161324</v>
      </c>
      <c r="F2098" s="5" t="s">
        <v>10</v>
      </c>
      <c r="G2098" s="5" t="s">
        <v>11</v>
      </c>
      <c r="H2098" s="3" t="s">
        <v>2609</v>
      </c>
    </row>
    <row r="2099" spans="1:8" ht="13.8" x14ac:dyDescent="0.25">
      <c r="A2099" s="3" t="s">
        <v>2317</v>
      </c>
      <c r="B2099" s="3" t="s">
        <v>2610</v>
      </c>
      <c r="C2099" s="4" t="str">
        <f>HYPERLINK("http://www.rncp.cncp.gouv.fr/grand-public/visualisationFiche?format=fr&amp;fiche=13576","13576")</f>
        <v>13576</v>
      </c>
      <c r="D2099" s="4" t="str">
        <f>HYPERLINK("http://www.intercariforef.org/formations/certification-76067.html","76067")</f>
        <v>76067</v>
      </c>
      <c r="E2099" s="5">
        <v>2183</v>
      </c>
      <c r="F2099" s="5" t="s">
        <v>10</v>
      </c>
      <c r="G2099" s="5" t="s">
        <v>11</v>
      </c>
      <c r="H2099" s="3" t="s">
        <v>2611</v>
      </c>
    </row>
    <row r="2100" spans="1:8" ht="27.6" x14ac:dyDescent="0.25">
      <c r="A2100" s="3" t="s">
        <v>2317</v>
      </c>
      <c r="B2100" s="3" t="s">
        <v>2612</v>
      </c>
      <c r="C2100" s="4" t="str">
        <f>HYPERLINK("http://www.rncp.cncp.gouv.fr/grand-public/visualisationFiche?format=fr&amp;fiche=4403","4403")</f>
        <v>4403</v>
      </c>
      <c r="D2100" s="4" t="str">
        <f>HYPERLINK("http://www.intercariforef.org/formations/certification-53090.html","53090")</f>
        <v>53090</v>
      </c>
      <c r="E2100" s="5">
        <v>2184</v>
      </c>
      <c r="F2100" s="5" t="s">
        <v>10</v>
      </c>
      <c r="G2100" s="5" t="s">
        <v>11</v>
      </c>
      <c r="H2100" s="3" t="s">
        <v>2321</v>
      </c>
    </row>
    <row r="2101" spans="1:8" ht="13.8" x14ac:dyDescent="0.25">
      <c r="A2101" s="3" t="s">
        <v>2317</v>
      </c>
      <c r="B2101" s="3" t="s">
        <v>2613</v>
      </c>
      <c r="C2101" s="4" t="str">
        <f>HYPERLINK("http://www.rncp.cncp.gouv.fr/grand-public/visualisationFiche?format=fr&amp;fiche=11500","11500")</f>
        <v>11500</v>
      </c>
      <c r="D2101" s="4" t="str">
        <f>HYPERLINK("http://www.intercariforef.org/formations/certification-72714.html","72714")</f>
        <v>72714</v>
      </c>
      <c r="E2101" s="5">
        <v>142759</v>
      </c>
      <c r="F2101" s="5" t="s">
        <v>10</v>
      </c>
      <c r="G2101" s="5" t="s">
        <v>11</v>
      </c>
      <c r="H2101" s="3" t="s">
        <v>2614</v>
      </c>
    </row>
    <row r="2102" spans="1:8" ht="13.8" x14ac:dyDescent="0.25">
      <c r="A2102" s="3" t="s">
        <v>2317</v>
      </c>
      <c r="B2102" s="3" t="s">
        <v>2615</v>
      </c>
      <c r="C2102" s="4" t="str">
        <f>HYPERLINK("http://www.rncp.cncp.gouv.fr/grand-public/visualisationFiche?format=fr&amp;fiche=15128","15128")</f>
        <v>15128</v>
      </c>
      <c r="D2102" s="4" t="str">
        <f>HYPERLINK("http://www.intercariforef.org/formations/certification-31681.html","31681")</f>
        <v>31681</v>
      </c>
      <c r="E2102" s="5">
        <v>142760</v>
      </c>
      <c r="F2102" s="5" t="s">
        <v>10</v>
      </c>
      <c r="G2102" s="5" t="s">
        <v>11</v>
      </c>
      <c r="H2102" s="3" t="s">
        <v>2616</v>
      </c>
    </row>
    <row r="2103" spans="1:8" ht="13.8" x14ac:dyDescent="0.25">
      <c r="A2103" s="3" t="s">
        <v>2317</v>
      </c>
      <c r="B2103" s="3" t="s">
        <v>2617</v>
      </c>
      <c r="C2103" s="4" t="str">
        <f>HYPERLINK("http://www.rncp.cncp.gouv.fr/grand-public/visualisationFiche?format=fr&amp;fiche=17769","17769")</f>
        <v>17769</v>
      </c>
      <c r="D2103" s="4" t="str">
        <f>HYPERLINK("http://www.intercariforef.org/formations/certification-80785.html","80785")</f>
        <v>80785</v>
      </c>
      <c r="E2103" s="5">
        <v>142761</v>
      </c>
      <c r="F2103" s="5" t="s">
        <v>10</v>
      </c>
      <c r="G2103" s="5" t="s">
        <v>11</v>
      </c>
      <c r="H2103" s="3" t="s">
        <v>2618</v>
      </c>
    </row>
    <row r="2104" spans="1:8" ht="27.6" x14ac:dyDescent="0.25">
      <c r="A2104" s="3" t="s">
        <v>2317</v>
      </c>
      <c r="B2104" s="3" t="s">
        <v>2619</v>
      </c>
      <c r="C2104" s="4" t="str">
        <f>HYPERLINK("http://www.rncp.cncp.gouv.fr/grand-public/visualisationFiche?format=fr&amp;fiche=17407","17407")</f>
        <v>17407</v>
      </c>
      <c r="D2104" s="4" t="str">
        <f>HYPERLINK("http://www.intercariforef.org/formations/certification-80497.html","80497")</f>
        <v>80497</v>
      </c>
      <c r="E2104" s="5">
        <v>142312</v>
      </c>
      <c r="F2104" s="5" t="s">
        <v>10</v>
      </c>
      <c r="G2104" s="5" t="s">
        <v>11</v>
      </c>
      <c r="H2104" s="3" t="s">
        <v>2620</v>
      </c>
    </row>
    <row r="2105" spans="1:8" ht="27.6" x14ac:dyDescent="0.25">
      <c r="A2105" s="3" t="s">
        <v>2317</v>
      </c>
      <c r="B2105" s="3" t="s">
        <v>2621</v>
      </c>
      <c r="C2105" s="4" t="str">
        <f>HYPERLINK("http://www.rncp.cncp.gouv.fr/grand-public/visualisationFiche?format=fr&amp;fiche=1787","1787")</f>
        <v>1787</v>
      </c>
      <c r="D2105" s="4" t="str">
        <f>HYPERLINK("http://www.intercariforef.org/formations/certification-24970.html","24970")</f>
        <v>24970</v>
      </c>
      <c r="E2105" s="5">
        <v>130880</v>
      </c>
      <c r="F2105" s="5" t="s">
        <v>10</v>
      </c>
      <c r="G2105" s="5" t="s">
        <v>11</v>
      </c>
      <c r="H2105" s="3" t="s">
        <v>1889</v>
      </c>
    </row>
    <row r="2106" spans="1:8" ht="27.6" x14ac:dyDescent="0.25">
      <c r="A2106" s="3" t="s">
        <v>2317</v>
      </c>
      <c r="B2106" s="3" t="s">
        <v>2622</v>
      </c>
      <c r="C2106" s="4" t="str">
        <f>HYPERLINK("http://www.rncp.cncp.gouv.fr/grand-public/visualisationFiche?format=fr&amp;fiche=9695","9695")</f>
        <v>9695</v>
      </c>
      <c r="D2106" s="4" t="str">
        <f>HYPERLINK("http://www.intercariforef.org/formations/certification-69812.html","69812")</f>
        <v>69812</v>
      </c>
      <c r="E2106" s="5">
        <v>142769</v>
      </c>
      <c r="F2106" s="5" t="s">
        <v>10</v>
      </c>
      <c r="G2106" s="5" t="s">
        <v>11</v>
      </c>
      <c r="H2106" s="3" t="s">
        <v>1889</v>
      </c>
    </row>
    <row r="2107" spans="1:8" ht="27.6" x14ac:dyDescent="0.25">
      <c r="A2107" s="3" t="s">
        <v>2317</v>
      </c>
      <c r="B2107" s="3" t="s">
        <v>2623</v>
      </c>
      <c r="C2107" s="4" t="str">
        <f>HYPERLINK("http://www.rncp.cncp.gouv.fr/grand-public/visualisationFiche?format=fr&amp;fiche=4855","4855")</f>
        <v>4855</v>
      </c>
      <c r="D2107" s="4" t="str">
        <f>HYPERLINK("http://www.intercariforef.org/formations/certification-54758.html","54758")</f>
        <v>54758</v>
      </c>
      <c r="E2107" s="5">
        <v>130949</v>
      </c>
      <c r="F2107" s="5" t="s">
        <v>10</v>
      </c>
      <c r="G2107" s="5" t="s">
        <v>11</v>
      </c>
      <c r="H2107" s="3" t="s">
        <v>1889</v>
      </c>
    </row>
    <row r="2108" spans="1:8" ht="27.6" x14ac:dyDescent="0.25">
      <c r="A2108" s="3" t="s">
        <v>2317</v>
      </c>
      <c r="B2108" s="3" t="s">
        <v>2624</v>
      </c>
      <c r="C2108" s="4" t="str">
        <f>HYPERLINK("http://www.rncp.cncp.gouv.fr/grand-public/visualisationFiche?format=fr&amp;fiche=400","400")</f>
        <v>400</v>
      </c>
      <c r="D2108" s="4" t="str">
        <f>HYPERLINK("http://www.intercariforef.org/formations/certification-25007.html","25007")</f>
        <v>25007</v>
      </c>
      <c r="E2108" s="5">
        <v>130881</v>
      </c>
      <c r="F2108" s="5" t="s">
        <v>10</v>
      </c>
      <c r="G2108" s="5" t="s">
        <v>11</v>
      </c>
      <c r="H2108" s="3" t="s">
        <v>1889</v>
      </c>
    </row>
    <row r="2109" spans="1:8" ht="27.6" x14ac:dyDescent="0.25">
      <c r="A2109" s="3" t="s">
        <v>2317</v>
      </c>
      <c r="B2109" s="3" t="s">
        <v>2625</v>
      </c>
      <c r="C2109" s="4" t="str">
        <f>HYPERLINK("http://www.rncp.cncp.gouv.fr/grand-public/visualisationFiche?format=fr&amp;fiche=17435","17435")</f>
        <v>17435</v>
      </c>
      <c r="D2109" s="4" t="str">
        <f>HYPERLINK("http://www.intercariforef.org/formations/certification-80728.html","80728")</f>
        <v>80728</v>
      </c>
      <c r="E2109" s="5">
        <v>2166</v>
      </c>
      <c r="F2109" s="5" t="s">
        <v>10</v>
      </c>
      <c r="G2109" s="5" t="s">
        <v>11</v>
      </c>
      <c r="H2109" s="3" t="s">
        <v>1889</v>
      </c>
    </row>
    <row r="2110" spans="1:8" ht="27.6" x14ac:dyDescent="0.25">
      <c r="A2110" s="3" t="s">
        <v>2317</v>
      </c>
      <c r="B2110" s="3" t="s">
        <v>2626</v>
      </c>
      <c r="C2110" s="4" t="str">
        <f>HYPERLINK("http://www.rncp.cncp.gouv.fr/grand-public/visualisationFiche?format=fr&amp;fiche=5881","5881")</f>
        <v>5881</v>
      </c>
      <c r="D2110" s="4" t="str">
        <f>HYPERLINK("http://www.intercariforef.org/formations/certification-56922.html","56922")</f>
        <v>56922</v>
      </c>
      <c r="E2110" s="5">
        <v>2188</v>
      </c>
      <c r="F2110" s="5" t="s">
        <v>10</v>
      </c>
      <c r="G2110" s="5" t="s">
        <v>11</v>
      </c>
      <c r="H2110" s="3" t="s">
        <v>1889</v>
      </c>
    </row>
    <row r="2111" spans="1:8" ht="27.6" x14ac:dyDescent="0.25">
      <c r="A2111" s="3" t="s">
        <v>2317</v>
      </c>
      <c r="B2111" s="3" t="s">
        <v>2627</v>
      </c>
      <c r="C2111" s="4" t="str">
        <f>HYPERLINK("http://www.rncp.cncp.gouv.fr/grand-public/visualisationFiche?format=fr&amp;fiche=5212","5212")</f>
        <v>5212</v>
      </c>
      <c r="D2111" s="4" t="str">
        <f>HYPERLINK("http://www.intercariforef.org/formations/certification-53826.html","53826")</f>
        <v>53826</v>
      </c>
      <c r="E2111" s="5">
        <v>130830</v>
      </c>
      <c r="F2111" s="5" t="s">
        <v>10</v>
      </c>
      <c r="G2111" s="5" t="s">
        <v>11</v>
      </c>
      <c r="H2111" s="3" t="s">
        <v>1889</v>
      </c>
    </row>
    <row r="2112" spans="1:8" ht="27.6" x14ac:dyDescent="0.25">
      <c r="A2112" s="3" t="s">
        <v>2317</v>
      </c>
      <c r="B2112" s="3" t="s">
        <v>2628</v>
      </c>
      <c r="C2112" s="4" t="str">
        <f>HYPERLINK("http://www.rncp.cncp.gouv.fr/grand-public/visualisationFiche?format=fr&amp;fiche=4537","4537")</f>
        <v>4537</v>
      </c>
      <c r="D2112" s="4" t="str">
        <f>HYPERLINK("http://www.intercariforef.org/formations/certification-53171.html","53171")</f>
        <v>53171</v>
      </c>
      <c r="E2112" s="5">
        <v>131934</v>
      </c>
      <c r="F2112" s="5" t="s">
        <v>10</v>
      </c>
      <c r="G2112" s="5" t="s">
        <v>11</v>
      </c>
      <c r="H2112" s="3" t="s">
        <v>1889</v>
      </c>
    </row>
    <row r="2113" spans="1:8" ht="27.6" x14ac:dyDescent="0.25">
      <c r="A2113" s="3" t="s">
        <v>2317</v>
      </c>
      <c r="B2113" s="3" t="s">
        <v>2629</v>
      </c>
      <c r="C2113" s="4" t="str">
        <f>HYPERLINK("http://www.rncp.cncp.gouv.fr/grand-public/visualisationFiche?format=fr&amp;fiche=12504","12504")</f>
        <v>12504</v>
      </c>
      <c r="D2113" s="4" t="str">
        <f>HYPERLINK("http://www.intercariforef.org/formations/certification-75174.html","75174")</f>
        <v>75174</v>
      </c>
      <c r="E2113" s="5">
        <v>130831</v>
      </c>
      <c r="F2113" s="5" t="s">
        <v>10</v>
      </c>
      <c r="G2113" s="5" t="s">
        <v>11</v>
      </c>
      <c r="H2113" s="3" t="s">
        <v>1889</v>
      </c>
    </row>
    <row r="2114" spans="1:8" ht="27.6" x14ac:dyDescent="0.25">
      <c r="A2114" s="3" t="s">
        <v>2317</v>
      </c>
      <c r="B2114" s="3" t="s">
        <v>2630</v>
      </c>
      <c r="C2114" s="4" t="str">
        <f>HYPERLINK("http://www.rncp.cncp.gouv.fr/grand-public/visualisationFiche?format=fr&amp;fiche=17793","17793")</f>
        <v>17793</v>
      </c>
      <c r="D2114" s="4" t="str">
        <f>HYPERLINK("http://www.intercariforef.org/formations/certification-82182.html","82182")</f>
        <v>82182</v>
      </c>
      <c r="E2114" s="5">
        <v>130820</v>
      </c>
      <c r="F2114" s="5" t="s">
        <v>10</v>
      </c>
      <c r="G2114" s="5" t="s">
        <v>11</v>
      </c>
      <c r="H2114" s="3" t="s">
        <v>1889</v>
      </c>
    </row>
    <row r="2115" spans="1:8" ht="27.6" x14ac:dyDescent="0.25">
      <c r="A2115" s="3" t="s">
        <v>2317</v>
      </c>
      <c r="B2115" s="3" t="s">
        <v>2631</v>
      </c>
      <c r="C2115" s="4" t="str">
        <f>HYPERLINK("http://www.rncp.cncp.gouv.fr/grand-public/visualisationFiche?format=fr&amp;fiche=17792","17792")</f>
        <v>17792</v>
      </c>
      <c r="D2115" s="4" t="str">
        <f>HYPERLINK("http://www.intercariforef.org/formations/certification-82184.html","82184")</f>
        <v>82184</v>
      </c>
      <c r="E2115" s="5">
        <v>142763</v>
      </c>
      <c r="F2115" s="5" t="s">
        <v>10</v>
      </c>
      <c r="G2115" s="5" t="s">
        <v>11</v>
      </c>
      <c r="H2115" s="3" t="s">
        <v>1889</v>
      </c>
    </row>
    <row r="2116" spans="1:8" ht="27.6" x14ac:dyDescent="0.25">
      <c r="A2116" s="3" t="s">
        <v>2317</v>
      </c>
      <c r="B2116" s="3" t="s">
        <v>2632</v>
      </c>
      <c r="C2116" s="4" t="str">
        <f>HYPERLINK("http://www.rncp.cncp.gouv.fr/grand-public/visualisationFiche?format=fr&amp;fiche=9159","9159")</f>
        <v>9159</v>
      </c>
      <c r="D2116" s="4" t="str">
        <f>HYPERLINK("http://www.intercariforef.org/formations/certification-68506.html","68506")</f>
        <v>68506</v>
      </c>
      <c r="E2116" s="5">
        <v>131935</v>
      </c>
      <c r="F2116" s="5" t="s">
        <v>10</v>
      </c>
      <c r="G2116" s="5" t="s">
        <v>11</v>
      </c>
      <c r="H2116" s="3" t="s">
        <v>1889</v>
      </c>
    </row>
    <row r="2117" spans="1:8" ht="27.6" x14ac:dyDescent="0.25">
      <c r="A2117" s="3" t="s">
        <v>2317</v>
      </c>
      <c r="B2117" s="3" t="s">
        <v>2633</v>
      </c>
      <c r="C2117" s="4" t="str">
        <f>HYPERLINK("http://www.rncp.cncp.gouv.fr/grand-public/visualisationFiche?format=fr&amp;fiche=4795","4795")</f>
        <v>4795</v>
      </c>
      <c r="D2117" s="4" t="str">
        <f>HYPERLINK("http://www.intercariforef.org/formations/certification-53131.html","53131")</f>
        <v>53131</v>
      </c>
      <c r="E2117" s="5">
        <v>141177</v>
      </c>
      <c r="F2117" s="5" t="s">
        <v>10</v>
      </c>
      <c r="G2117" s="5" t="s">
        <v>11</v>
      </c>
      <c r="H2117" s="3" t="s">
        <v>1889</v>
      </c>
    </row>
    <row r="2118" spans="1:8" ht="27.6" x14ac:dyDescent="0.25">
      <c r="A2118" s="3" t="s">
        <v>2317</v>
      </c>
      <c r="B2118" s="3" t="s">
        <v>2634</v>
      </c>
      <c r="C2118" s="4" t="str">
        <f>HYPERLINK("http://www.rncp.cncp.gouv.fr/grand-public/visualisationFiche?format=fr&amp;fiche=2561","2561")</f>
        <v>2561</v>
      </c>
      <c r="D2118" s="4" t="str">
        <f>HYPERLINK("http://www.intercariforef.org/formations/certification-82782.html","82782")</f>
        <v>82782</v>
      </c>
      <c r="E2118" s="5">
        <v>142764</v>
      </c>
      <c r="F2118" s="5" t="s">
        <v>10</v>
      </c>
      <c r="G2118" s="5" t="s">
        <v>11</v>
      </c>
      <c r="H2118" s="3" t="s">
        <v>1889</v>
      </c>
    </row>
    <row r="2119" spans="1:8" ht="27.6" x14ac:dyDescent="0.25">
      <c r="A2119" s="3" t="s">
        <v>2317</v>
      </c>
      <c r="B2119" s="3" t="s">
        <v>2635</v>
      </c>
      <c r="C2119" s="4" t="str">
        <f>HYPERLINK("http://www.rncp.cncp.gouv.fr/grand-public/visualisationFiche?format=fr&amp;fiche=19795","19795")</f>
        <v>19795</v>
      </c>
      <c r="D2119" s="4" t="str">
        <f>HYPERLINK("http://www.intercariforef.org/formations/certification-82698.html","82698")</f>
        <v>82698</v>
      </c>
      <c r="E2119" s="5">
        <v>2191</v>
      </c>
      <c r="F2119" s="5" t="s">
        <v>10</v>
      </c>
      <c r="G2119" s="5" t="s">
        <v>11</v>
      </c>
      <c r="H2119" s="3" t="s">
        <v>1889</v>
      </c>
    </row>
    <row r="2120" spans="1:8" ht="27.6" x14ac:dyDescent="0.25">
      <c r="A2120" s="3" t="s">
        <v>2317</v>
      </c>
      <c r="B2120" s="3" t="s">
        <v>2636</v>
      </c>
      <c r="C2120" s="4" t="str">
        <f>HYPERLINK("http://www.rncp.cncp.gouv.fr/grand-public/visualisationFiche?format=fr&amp;fiche=1267","1267")</f>
        <v>1267</v>
      </c>
      <c r="D2120" s="4" t="str">
        <f>HYPERLINK("http://www.intercariforef.org/formations/certification-81501.html","81501")</f>
        <v>81501</v>
      </c>
      <c r="E2120" s="5">
        <v>16240</v>
      </c>
      <c r="F2120" s="5" t="s">
        <v>10</v>
      </c>
      <c r="G2120" s="5" t="s">
        <v>11</v>
      </c>
      <c r="H2120" s="3" t="s">
        <v>1889</v>
      </c>
    </row>
    <row r="2121" spans="1:8" ht="27.6" x14ac:dyDescent="0.25">
      <c r="A2121" s="3" t="s">
        <v>2317</v>
      </c>
      <c r="B2121" s="3" t="s">
        <v>2637</v>
      </c>
      <c r="C2121" s="4" t="str">
        <f>HYPERLINK("http://www.rncp.cncp.gouv.fr/grand-public/visualisationFiche?format=fr&amp;fiche=1943","1943")</f>
        <v>1943</v>
      </c>
      <c r="D2121" s="4" t="str">
        <f>HYPERLINK("http://www.intercariforef.org/formations/certification-82780.html","82780")</f>
        <v>82780</v>
      </c>
      <c r="E2121" s="5">
        <v>142765</v>
      </c>
      <c r="F2121" s="5" t="s">
        <v>10</v>
      </c>
      <c r="G2121" s="5" t="s">
        <v>11</v>
      </c>
      <c r="H2121" s="3" t="s">
        <v>1889</v>
      </c>
    </row>
    <row r="2122" spans="1:8" ht="27.6" x14ac:dyDescent="0.25">
      <c r="A2122" s="3" t="s">
        <v>2317</v>
      </c>
      <c r="B2122" s="3" t="s">
        <v>2638</v>
      </c>
      <c r="C2122" s="4" t="str">
        <f>HYPERLINK("http://www.rncp.cncp.gouv.fr/grand-public/visualisationFiche?format=fr&amp;fiche=1892","1892")</f>
        <v>1892</v>
      </c>
      <c r="D2122" s="4" t="str">
        <f>HYPERLINK("http://www.intercariforef.org/formations/certification-82753.html","82753")</f>
        <v>82753</v>
      </c>
      <c r="E2122" s="5">
        <v>155000</v>
      </c>
      <c r="F2122" s="5" t="s">
        <v>10</v>
      </c>
      <c r="G2122" s="5" t="s">
        <v>11</v>
      </c>
      <c r="H2122" s="3" t="s">
        <v>1889</v>
      </c>
    </row>
    <row r="2123" spans="1:8" ht="27.6" x14ac:dyDescent="0.25">
      <c r="A2123" s="3" t="s">
        <v>2317</v>
      </c>
      <c r="B2123" s="3" t="s">
        <v>2639</v>
      </c>
      <c r="C2123" s="4" t="str">
        <f>HYPERLINK("http://www.rncp.cncp.gouv.fr/grand-public/visualisationFiche?format=fr&amp;fiche=1811","1811")</f>
        <v>1811</v>
      </c>
      <c r="D2123" s="4" t="str">
        <f>HYPERLINK("http://www.intercariforef.org/formations/certification-82625.html","82625")</f>
        <v>82625</v>
      </c>
      <c r="E2123" s="5">
        <v>142766</v>
      </c>
      <c r="F2123" s="5" t="s">
        <v>10</v>
      </c>
      <c r="G2123" s="5" t="s">
        <v>11</v>
      </c>
      <c r="H2123" s="3" t="s">
        <v>1889</v>
      </c>
    </row>
    <row r="2124" spans="1:8" ht="27.6" x14ac:dyDescent="0.25">
      <c r="A2124" s="3" t="s">
        <v>2317</v>
      </c>
      <c r="B2124" s="3" t="s">
        <v>2640</v>
      </c>
      <c r="C2124" s="4" t="str">
        <f>HYPERLINK("http://www.rncp.cncp.gouv.fr/grand-public/visualisationFiche?format=fr&amp;fiche=193","193")</f>
        <v>193</v>
      </c>
      <c r="D2124" s="4" t="str">
        <f>HYPERLINK("http://www.intercariforef.org/formations/certification-56918.html","56918")</f>
        <v>56918</v>
      </c>
      <c r="E2124" s="5">
        <v>2189</v>
      </c>
      <c r="F2124" s="5" t="s">
        <v>10</v>
      </c>
      <c r="G2124" s="5" t="s">
        <v>11</v>
      </c>
      <c r="H2124" s="3" t="s">
        <v>1889</v>
      </c>
    </row>
    <row r="2125" spans="1:8" ht="27.6" x14ac:dyDescent="0.25">
      <c r="A2125" s="3" t="s">
        <v>2317</v>
      </c>
      <c r="B2125" s="3" t="s">
        <v>2641</v>
      </c>
      <c r="C2125" s="4" t="str">
        <f>HYPERLINK("http://www.rncp.cncp.gouv.fr/grand-public/visualisationFiche?format=fr&amp;fiche=1212","1212")</f>
        <v>1212</v>
      </c>
      <c r="D2125" s="4" t="str">
        <f>HYPERLINK("http://www.intercariforef.org/formations/certification-25238.html","25238")</f>
        <v>25238</v>
      </c>
      <c r="E2125" s="5">
        <v>2190</v>
      </c>
      <c r="F2125" s="5" t="s">
        <v>10</v>
      </c>
      <c r="G2125" s="5" t="s">
        <v>11</v>
      </c>
      <c r="H2125" s="3" t="s">
        <v>1889</v>
      </c>
    </row>
    <row r="2126" spans="1:8" ht="27.6" x14ac:dyDescent="0.25">
      <c r="A2126" s="3" t="s">
        <v>2317</v>
      </c>
      <c r="B2126" s="3" t="s">
        <v>2642</v>
      </c>
      <c r="C2126" s="4" t="str">
        <f>HYPERLINK("http://www.rncp.cncp.gouv.fr/grand-public/visualisationFiche?format=fr&amp;fiche=1936","1936")</f>
        <v>1936</v>
      </c>
      <c r="D2126" s="4" t="str">
        <f>HYPERLINK("http://www.intercariforef.org/formations/certification-25419.html","25419")</f>
        <v>25419</v>
      </c>
      <c r="E2126" s="5">
        <v>142770</v>
      </c>
      <c r="F2126" s="5" t="s">
        <v>10</v>
      </c>
      <c r="G2126" s="5" t="s">
        <v>11</v>
      </c>
      <c r="H2126" s="3" t="s">
        <v>1889</v>
      </c>
    </row>
    <row r="2127" spans="1:8" ht="27.6" x14ac:dyDescent="0.25">
      <c r="A2127" s="3" t="s">
        <v>2317</v>
      </c>
      <c r="B2127" s="3" t="s">
        <v>2643</v>
      </c>
      <c r="C2127" s="4" t="str">
        <f>HYPERLINK("http://www.rncp.cncp.gouv.fr/grand-public/visualisationFiche?format=fr&amp;fiche=1815","1815")</f>
        <v>1815</v>
      </c>
      <c r="D2127" s="4" t="str">
        <f>HYPERLINK("http://www.intercariforef.org/formations/certification-25271.html","25271")</f>
        <v>25271</v>
      </c>
      <c r="E2127" s="5">
        <v>130957</v>
      </c>
      <c r="F2127" s="5" t="s">
        <v>10</v>
      </c>
      <c r="G2127" s="5" t="s">
        <v>11</v>
      </c>
      <c r="H2127" s="3" t="s">
        <v>1889</v>
      </c>
    </row>
    <row r="2128" spans="1:8" ht="27.6" x14ac:dyDescent="0.25">
      <c r="A2128" s="3" t="s">
        <v>2317</v>
      </c>
      <c r="B2128" s="3" t="s">
        <v>2644</v>
      </c>
      <c r="C2128" s="4" t="str">
        <f>HYPERLINK("http://www.rncp.cncp.gouv.fr/grand-public/visualisationFiche?format=fr&amp;fiche=4828","4828")</f>
        <v>4828</v>
      </c>
      <c r="D2128" s="4" t="str">
        <f>HYPERLINK("http://www.intercariforef.org/formations/certification-83077.html","83077")</f>
        <v>83077</v>
      </c>
      <c r="E2128" s="5">
        <v>130958</v>
      </c>
      <c r="F2128" s="5" t="s">
        <v>10</v>
      </c>
      <c r="G2128" s="5" t="s">
        <v>11</v>
      </c>
      <c r="H2128" s="3" t="s">
        <v>1889</v>
      </c>
    </row>
    <row r="2129" spans="1:8" ht="27.6" x14ac:dyDescent="0.25">
      <c r="A2129" s="3" t="s">
        <v>2317</v>
      </c>
      <c r="B2129" s="3" t="s">
        <v>2645</v>
      </c>
      <c r="C2129" s="4" t="str">
        <f>HYPERLINK("http://www.rncp.cncp.gouv.fr/grand-public/visualisationFiche?format=fr&amp;fiche=214","214")</f>
        <v>214</v>
      </c>
      <c r="D2129" s="4" t="str">
        <f>HYPERLINK("http://www.intercariforef.org/formations/certification-25277.html","25277")</f>
        <v>25277</v>
      </c>
      <c r="E2129" s="5">
        <v>130959</v>
      </c>
      <c r="F2129" s="5" t="s">
        <v>10</v>
      </c>
      <c r="G2129" s="5" t="s">
        <v>11</v>
      </c>
      <c r="H2129" s="3" t="s">
        <v>1889</v>
      </c>
    </row>
    <row r="2130" spans="1:8" ht="27.6" x14ac:dyDescent="0.25">
      <c r="A2130" s="3" t="s">
        <v>2317</v>
      </c>
      <c r="B2130" s="3" t="s">
        <v>2646</v>
      </c>
      <c r="C2130" s="4" t="str">
        <f>HYPERLINK("http://www.rncp.cncp.gouv.fr/grand-public/visualisationFiche?format=fr&amp;fiche=13621","13621")</f>
        <v>13621</v>
      </c>
      <c r="D2130" s="4" t="str">
        <f>HYPERLINK("http://www.intercariforef.org/formations/certification-76866.html","76866")</f>
        <v>76866</v>
      </c>
      <c r="E2130" s="5">
        <v>2185</v>
      </c>
      <c r="F2130" s="5" t="s">
        <v>10</v>
      </c>
      <c r="G2130" s="5" t="s">
        <v>11</v>
      </c>
      <c r="H2130" s="3" t="s">
        <v>1889</v>
      </c>
    </row>
    <row r="2131" spans="1:8" ht="27.6" x14ac:dyDescent="0.25">
      <c r="A2131" s="3" t="s">
        <v>2317</v>
      </c>
      <c r="B2131" s="3" t="s">
        <v>2647</v>
      </c>
      <c r="C2131" s="4" t="str">
        <f>HYPERLINK("http://www.rncp.cncp.gouv.fr/grand-public/visualisationFiche?format=fr&amp;fiche=13622","13622")</f>
        <v>13622</v>
      </c>
      <c r="D2131" s="4" t="str">
        <f>HYPERLINK("http://www.intercariforef.org/formations/certification-76865.html","76865")</f>
        <v>76865</v>
      </c>
      <c r="E2131" s="5">
        <v>2186</v>
      </c>
      <c r="F2131" s="5" t="s">
        <v>10</v>
      </c>
      <c r="G2131" s="5" t="s">
        <v>11</v>
      </c>
      <c r="H2131" s="3" t="s">
        <v>1889</v>
      </c>
    </row>
    <row r="2132" spans="1:8" ht="27.6" x14ac:dyDescent="0.25">
      <c r="A2132" s="3" t="s">
        <v>2317</v>
      </c>
      <c r="B2132" s="3" t="s">
        <v>2648</v>
      </c>
      <c r="C2132" s="4" t="str">
        <f>HYPERLINK("http://www.rncp.cncp.gouv.fr/grand-public/visualisationFiche?format=fr&amp;fiche=7459","7459")</f>
        <v>7459</v>
      </c>
      <c r="D2132" s="4" t="str">
        <f>HYPERLINK("http://www.intercariforef.org/formations/certification-83076.html","83076")</f>
        <v>83076</v>
      </c>
      <c r="E2132" s="5">
        <v>130960</v>
      </c>
      <c r="F2132" s="5" t="s">
        <v>10</v>
      </c>
      <c r="G2132" s="5" t="s">
        <v>11</v>
      </c>
      <c r="H2132" s="3" t="s">
        <v>1889</v>
      </c>
    </row>
    <row r="2133" spans="1:8" ht="27.6" x14ac:dyDescent="0.25">
      <c r="A2133" s="3" t="s">
        <v>2317</v>
      </c>
      <c r="B2133" s="3" t="s">
        <v>2649</v>
      </c>
      <c r="C2133" s="4" t="str">
        <f>HYPERLINK("http://www.rncp.cncp.gouv.fr/grand-public/visualisationFiche?format=fr&amp;fiche=387","387")</f>
        <v>387</v>
      </c>
      <c r="D2133" s="4" t="str">
        <f>HYPERLINK("http://www.intercariforef.org/formations/certification-25295.html","25295")</f>
        <v>25295</v>
      </c>
      <c r="E2133" s="5">
        <v>130961</v>
      </c>
      <c r="F2133" s="5" t="s">
        <v>10</v>
      </c>
      <c r="G2133" s="5" t="s">
        <v>11</v>
      </c>
      <c r="H2133" s="3" t="s">
        <v>1889</v>
      </c>
    </row>
    <row r="2134" spans="1:8" ht="27.6" x14ac:dyDescent="0.25">
      <c r="A2134" s="3" t="s">
        <v>2317</v>
      </c>
      <c r="B2134" s="3" t="s">
        <v>2650</v>
      </c>
      <c r="C2134" s="4" t="str">
        <f>HYPERLINK("http://www.rncp.cncp.gouv.fr/grand-public/visualisationFiche?format=fr&amp;fiche=211","211")</f>
        <v>211</v>
      </c>
      <c r="D2134" s="4" t="str">
        <f>HYPERLINK("http://www.intercariforef.org/formations/certification-25301.html","25301")</f>
        <v>25301</v>
      </c>
      <c r="E2134" s="5">
        <v>142294</v>
      </c>
      <c r="F2134" s="5" t="s">
        <v>10</v>
      </c>
      <c r="G2134" s="5" t="s">
        <v>11</v>
      </c>
      <c r="H2134" s="3" t="s">
        <v>1889</v>
      </c>
    </row>
    <row r="2135" spans="1:8" ht="27.6" x14ac:dyDescent="0.25">
      <c r="A2135" s="3" t="s">
        <v>2317</v>
      </c>
      <c r="B2135" s="3" t="s">
        <v>2651</v>
      </c>
      <c r="C2135" s="4" t="str">
        <f>HYPERLINK("http://www.rncp.cncp.gouv.fr/grand-public/visualisationFiche?format=fr&amp;fiche=6227","6227")</f>
        <v>6227</v>
      </c>
      <c r="D2135" s="4" t="str">
        <f>HYPERLINK("http://www.intercariforef.org/formations/certification-81761.html","81761")</f>
        <v>81761</v>
      </c>
      <c r="E2135" s="5">
        <v>142767</v>
      </c>
      <c r="F2135" s="5" t="s">
        <v>10</v>
      </c>
      <c r="G2135" s="5" t="s">
        <v>11</v>
      </c>
      <c r="H2135" s="3" t="s">
        <v>1889</v>
      </c>
    </row>
    <row r="2136" spans="1:8" ht="27.6" x14ac:dyDescent="0.25">
      <c r="A2136" s="3" t="s">
        <v>2317</v>
      </c>
      <c r="B2136" s="3" t="s">
        <v>2652</v>
      </c>
      <c r="C2136" s="4" t="str">
        <f>HYPERLINK("http://www.rncp.cncp.gouv.fr/grand-public/visualisationFiche?format=fr&amp;fiche=392","392")</f>
        <v>392</v>
      </c>
      <c r="D2136" s="4" t="str">
        <f>HYPERLINK("http://www.intercariforef.org/formations/certification-81317.html","81317")</f>
        <v>81317</v>
      </c>
      <c r="E2136" s="5">
        <v>130962</v>
      </c>
      <c r="F2136" s="5" t="s">
        <v>10</v>
      </c>
      <c r="G2136" s="5" t="s">
        <v>11</v>
      </c>
      <c r="H2136" s="3" t="s">
        <v>1889</v>
      </c>
    </row>
    <row r="2137" spans="1:8" ht="27.6" x14ac:dyDescent="0.25">
      <c r="A2137" s="3" t="s">
        <v>2317</v>
      </c>
      <c r="B2137" s="3" t="s">
        <v>2653</v>
      </c>
      <c r="C2137" s="4" t="str">
        <f>HYPERLINK("http://www.rncp.cncp.gouv.fr/grand-public/visualisationFiche?format=fr&amp;fiche=1816","1816")</f>
        <v>1816</v>
      </c>
      <c r="D2137" s="4" t="str">
        <f>HYPERLINK("http://www.intercariforef.org/formations/certification-81022.html","81022")</f>
        <v>81022</v>
      </c>
      <c r="E2137" s="5">
        <v>130953</v>
      </c>
      <c r="F2137" s="5" t="s">
        <v>10</v>
      </c>
      <c r="G2137" s="5" t="s">
        <v>11</v>
      </c>
      <c r="H2137" s="3" t="s">
        <v>1889</v>
      </c>
    </row>
    <row r="2138" spans="1:8" ht="27.6" x14ac:dyDescent="0.25">
      <c r="A2138" s="3" t="s">
        <v>2317</v>
      </c>
      <c r="B2138" s="3" t="s">
        <v>2654</v>
      </c>
      <c r="C2138" s="4" t="str">
        <f>HYPERLINK("http://www.rncp.cncp.gouv.fr/grand-public/visualisationFiche?format=fr&amp;fiche=18256","18256")</f>
        <v>18256</v>
      </c>
      <c r="D2138" s="4" t="str">
        <f>HYPERLINK("http://www.intercariforef.org/formations/certification-82558.html","82558")</f>
        <v>82558</v>
      </c>
      <c r="E2138" s="5">
        <v>142768</v>
      </c>
      <c r="F2138" s="5" t="s">
        <v>10</v>
      </c>
      <c r="G2138" s="5" t="s">
        <v>11</v>
      </c>
      <c r="H2138" s="3" t="s">
        <v>1889</v>
      </c>
    </row>
    <row r="2139" spans="1:8" ht="27.6" x14ac:dyDescent="0.25">
      <c r="A2139" s="3" t="s">
        <v>2317</v>
      </c>
      <c r="B2139" s="3" t="s">
        <v>2655</v>
      </c>
      <c r="C2139" s="4" t="str">
        <f>HYPERLINK("http://www.rncp.cncp.gouv.fr/grand-public/visualisationFiche?format=fr&amp;fiche=17783","17783")</f>
        <v>17783</v>
      </c>
      <c r="D2139" s="4" t="str">
        <f>HYPERLINK("http://www.intercariforef.org/formations/certification-81027.html","81027")</f>
        <v>81027</v>
      </c>
      <c r="E2139" s="5">
        <v>130955</v>
      </c>
      <c r="F2139" s="5" t="s">
        <v>10</v>
      </c>
      <c r="G2139" s="5" t="s">
        <v>11</v>
      </c>
      <c r="H2139" s="3" t="s">
        <v>1889</v>
      </c>
    </row>
    <row r="2140" spans="1:8" ht="27.6" x14ac:dyDescent="0.25">
      <c r="A2140" s="3" t="s">
        <v>2317</v>
      </c>
      <c r="B2140" s="3" t="s">
        <v>2656</v>
      </c>
      <c r="C2140" s="4" t="str">
        <f>HYPERLINK("http://www.rncp.cncp.gouv.fr/grand-public/visualisationFiche?format=fr&amp;fiche=17028","17028")</f>
        <v>17028</v>
      </c>
      <c r="D2140" s="4" t="str">
        <f>HYPERLINK("http://www.intercariforef.org/formations/certification-81040.html","81040")</f>
        <v>81040</v>
      </c>
      <c r="E2140" s="5">
        <v>130956</v>
      </c>
      <c r="F2140" s="5" t="s">
        <v>10</v>
      </c>
      <c r="G2140" s="5" t="s">
        <v>11</v>
      </c>
      <c r="H2140" s="3" t="s">
        <v>1889</v>
      </c>
    </row>
    <row r="2141" spans="1:8" ht="27.6" x14ac:dyDescent="0.25">
      <c r="A2141" s="3" t="s">
        <v>2317</v>
      </c>
      <c r="B2141" s="3" t="s">
        <v>2657</v>
      </c>
      <c r="C2141" s="4" t="str">
        <f>HYPERLINK("http://www.rncp.cncp.gouv.fr/grand-public/visualisationFiche?format=fr&amp;fiche=17024","17024")</f>
        <v>17024</v>
      </c>
      <c r="D2141" s="4" t="str">
        <f>HYPERLINK("http://www.intercariforef.org/formations/certification-81024.html","81024")</f>
        <v>81024</v>
      </c>
      <c r="E2141" s="5">
        <v>130952</v>
      </c>
      <c r="F2141" s="5" t="s">
        <v>10</v>
      </c>
      <c r="G2141" s="5" t="s">
        <v>11</v>
      </c>
      <c r="H2141" s="3" t="s">
        <v>1889</v>
      </c>
    </row>
    <row r="2142" spans="1:8" ht="27.6" x14ac:dyDescent="0.25">
      <c r="A2142" s="3" t="s">
        <v>2317</v>
      </c>
      <c r="B2142" s="3" t="s">
        <v>2658</v>
      </c>
      <c r="C2142" s="4" t="str">
        <f>HYPERLINK("http://www.rncp.cncp.gouv.fr/grand-public/visualisationFiche?format=fr&amp;fiche=1248","1248")</f>
        <v>1248</v>
      </c>
      <c r="D2142" s="4" t="str">
        <f>HYPERLINK("http://www.intercariforef.org/formations/certification-82694.html","82694")</f>
        <v>82694</v>
      </c>
      <c r="E2142" s="5">
        <v>142771</v>
      </c>
      <c r="F2142" s="5" t="s">
        <v>10</v>
      </c>
      <c r="G2142" s="5" t="s">
        <v>11</v>
      </c>
      <c r="H2142" s="3" t="s">
        <v>1889</v>
      </c>
    </row>
    <row r="2143" spans="1:8" ht="27.6" x14ac:dyDescent="0.25">
      <c r="A2143" s="3" t="s">
        <v>2317</v>
      </c>
      <c r="B2143" s="3" t="s">
        <v>2659</v>
      </c>
      <c r="C2143" s="4" t="str">
        <f>HYPERLINK("http://www.rncp.cncp.gouv.fr/grand-public/visualisationFiche?format=fr&amp;fiche=218","218")</f>
        <v>218</v>
      </c>
      <c r="D2143" s="4" t="str">
        <f>HYPERLINK("http://www.intercariforef.org/formations/certification-81130.html","81130")</f>
        <v>81130</v>
      </c>
      <c r="E2143" s="5">
        <v>161325</v>
      </c>
      <c r="F2143" s="5" t="s">
        <v>10</v>
      </c>
      <c r="G2143" s="5" t="s">
        <v>11</v>
      </c>
      <c r="H2143" s="3" t="s">
        <v>1889</v>
      </c>
    </row>
    <row r="2144" spans="1:8" ht="27.6" x14ac:dyDescent="0.25">
      <c r="A2144" s="3" t="s">
        <v>2317</v>
      </c>
      <c r="B2144" s="3" t="s">
        <v>2660</v>
      </c>
      <c r="C2144" s="4" t="str">
        <f>HYPERLINK("http://www.rncp.cncp.gouv.fr/grand-public/visualisationFiche?format=fr&amp;fiche=12486","12486")</f>
        <v>12486</v>
      </c>
      <c r="D2144" s="4" t="str">
        <f>HYPERLINK("http://www.intercariforef.org/formations/certification-74487.html","74487")</f>
        <v>74487</v>
      </c>
      <c r="E2144" s="5">
        <v>161326</v>
      </c>
      <c r="F2144" s="5" t="s">
        <v>10</v>
      </c>
      <c r="G2144" s="5" t="s">
        <v>11</v>
      </c>
      <c r="H2144" s="3" t="s">
        <v>1889</v>
      </c>
    </row>
    <row r="2145" spans="1:8" ht="27.6" x14ac:dyDescent="0.25">
      <c r="A2145" s="3" t="s">
        <v>2317</v>
      </c>
      <c r="B2145" s="3" t="s">
        <v>2661</v>
      </c>
      <c r="C2145" s="4" t="str">
        <f>HYPERLINK("http://www.rncp.cncp.gouv.fr/grand-public/visualisationFiche?format=fr&amp;fiche=1817","1817")</f>
        <v>1817</v>
      </c>
      <c r="D2145" s="4" t="str">
        <f>HYPERLINK("http://www.intercariforef.org/formations/certification-82459.html","82459")</f>
        <v>82459</v>
      </c>
      <c r="E2145" s="5">
        <v>142762</v>
      </c>
      <c r="F2145" s="5" t="s">
        <v>10</v>
      </c>
      <c r="G2145" s="5" t="s">
        <v>11</v>
      </c>
      <c r="H2145" s="3" t="s">
        <v>1889</v>
      </c>
    </row>
    <row r="2146" spans="1:8" ht="27.6" x14ac:dyDescent="0.25">
      <c r="A2146" s="3" t="s">
        <v>2317</v>
      </c>
      <c r="B2146" s="3" t="s">
        <v>2662</v>
      </c>
      <c r="C2146" s="4" t="str">
        <f>HYPERLINK("http://www.rncp.cncp.gouv.fr/grand-public/visualisationFiche?format=fr&amp;fiche=6114","6114")</f>
        <v>6114</v>
      </c>
      <c r="D2146" s="4" t="str">
        <f>HYPERLINK("http://www.intercariforef.org/formations/certification-81315.html","81315")</f>
        <v>81315</v>
      </c>
      <c r="E2146" s="5">
        <v>131936</v>
      </c>
      <c r="F2146" s="5" t="s">
        <v>10</v>
      </c>
      <c r="G2146" s="5" t="s">
        <v>11</v>
      </c>
      <c r="H2146" s="3" t="s">
        <v>1889</v>
      </c>
    </row>
    <row r="2147" spans="1:8" ht="27.6" x14ac:dyDescent="0.25">
      <c r="A2147" s="3" t="s">
        <v>2317</v>
      </c>
      <c r="B2147" s="3" t="s">
        <v>2663</v>
      </c>
      <c r="C2147" s="4" t="str">
        <f>HYPERLINK("http://www.rncp.cncp.gouv.fr/grand-public/visualisationFiche?format=fr&amp;fiche=9581","9581")</f>
        <v>9581</v>
      </c>
      <c r="D2147" s="4" t="str">
        <f>HYPERLINK("http://www.intercariforef.org/formations/certification-25333.html","25333")</f>
        <v>25333</v>
      </c>
      <c r="E2147" s="5">
        <v>130963</v>
      </c>
      <c r="F2147" s="5" t="s">
        <v>10</v>
      </c>
      <c r="G2147" s="5" t="s">
        <v>11</v>
      </c>
      <c r="H2147" s="3" t="s">
        <v>1889</v>
      </c>
    </row>
    <row r="2148" spans="1:8" ht="27.6" x14ac:dyDescent="0.25">
      <c r="A2148" s="3" t="s">
        <v>2317</v>
      </c>
      <c r="B2148" s="3" t="s">
        <v>2664</v>
      </c>
      <c r="C2148" s="4" t="str">
        <f>HYPERLINK("http://www.rncp.cncp.gouv.fr/grand-public/visualisationFiche?format=fr&amp;fiche=1899","1899")</f>
        <v>1899</v>
      </c>
      <c r="D2148" s="4" t="str">
        <f>HYPERLINK("http://www.intercariforef.org/formations/certification-25342.html","25342")</f>
        <v>25342</v>
      </c>
      <c r="E2148" s="5">
        <v>2192</v>
      </c>
      <c r="F2148" s="5" t="s">
        <v>10</v>
      </c>
      <c r="G2148" s="5" t="s">
        <v>11</v>
      </c>
      <c r="H2148" s="3" t="s">
        <v>1889</v>
      </c>
    </row>
    <row r="2149" spans="1:8" ht="27.6" x14ac:dyDescent="0.25">
      <c r="A2149" s="3" t="s">
        <v>2317</v>
      </c>
      <c r="B2149" s="3" t="s">
        <v>2665</v>
      </c>
      <c r="C2149" s="4" t="str">
        <f>HYPERLINK("http://www.rncp.cncp.gouv.fr/grand-public/visualisationFiche?format=fr&amp;fiche=14264","14264")</f>
        <v>14264</v>
      </c>
      <c r="D2149" s="4" t="str">
        <f>HYPERLINK("http://www.intercariforef.org/formations/certification-77303.html","77303")</f>
        <v>77303</v>
      </c>
      <c r="E2149" s="5">
        <v>130964</v>
      </c>
      <c r="F2149" s="5" t="s">
        <v>10</v>
      </c>
      <c r="G2149" s="5" t="s">
        <v>11</v>
      </c>
      <c r="H2149" s="3" t="s">
        <v>1889</v>
      </c>
    </row>
    <row r="2150" spans="1:8" ht="27.6" x14ac:dyDescent="0.25">
      <c r="A2150" s="3" t="s">
        <v>2317</v>
      </c>
      <c r="B2150" s="3" t="s">
        <v>2666</v>
      </c>
      <c r="C2150" s="4" t="str">
        <f>HYPERLINK("http://www.rncp.cncp.gouv.fr/grand-public/visualisationFiche?format=fr&amp;fiche=216","216")</f>
        <v>216</v>
      </c>
      <c r="D2150" s="4" t="str">
        <f>HYPERLINK("http://www.intercariforef.org/formations/certification-25354.html","25354")</f>
        <v>25354</v>
      </c>
      <c r="E2150" s="5">
        <v>130965</v>
      </c>
      <c r="F2150" s="5" t="s">
        <v>10</v>
      </c>
      <c r="G2150" s="5" t="s">
        <v>11</v>
      </c>
      <c r="H2150" s="3" t="s">
        <v>1889</v>
      </c>
    </row>
    <row r="2151" spans="1:8" ht="27.6" x14ac:dyDescent="0.25">
      <c r="A2151" s="3" t="s">
        <v>2317</v>
      </c>
      <c r="B2151" s="3" t="s">
        <v>2667</v>
      </c>
      <c r="C2151" s="4" t="str">
        <f>HYPERLINK("http://www.rncp.cncp.gouv.fr/grand-public/visualisationFiche?format=fr&amp;fiche=11467","11467")</f>
        <v>11467</v>
      </c>
      <c r="D2151" s="4" t="str">
        <f>HYPERLINK("http://www.intercariforef.org/formations/certification-25341.html","25341")</f>
        <v>25341</v>
      </c>
      <c r="E2151" s="5">
        <v>130966</v>
      </c>
      <c r="F2151" s="5" t="s">
        <v>10</v>
      </c>
      <c r="G2151" s="5" t="s">
        <v>11</v>
      </c>
      <c r="H2151" s="3" t="s">
        <v>1889</v>
      </c>
    </row>
    <row r="2152" spans="1:8" ht="27.6" x14ac:dyDescent="0.25">
      <c r="A2152" s="3" t="s">
        <v>2317</v>
      </c>
      <c r="B2152" s="3" t="s">
        <v>2668</v>
      </c>
      <c r="C2152" s="4" t="str">
        <f>HYPERLINK("http://www.rncp.cncp.gouv.fr/grand-public/visualisationFiche?format=fr&amp;fiche=11466","11466")</f>
        <v>11466</v>
      </c>
      <c r="D2152" s="4" t="str">
        <f>HYPERLINK("http://www.intercariforef.org/formations/certification-72750.html","72750")</f>
        <v>72750</v>
      </c>
      <c r="E2152" s="5">
        <v>130967</v>
      </c>
      <c r="F2152" s="5" t="s">
        <v>10</v>
      </c>
      <c r="G2152" s="5" t="s">
        <v>11</v>
      </c>
      <c r="H2152" s="3" t="s">
        <v>1889</v>
      </c>
    </row>
    <row r="2153" spans="1:8" ht="27.6" x14ac:dyDescent="0.25">
      <c r="A2153" s="3" t="s">
        <v>2317</v>
      </c>
      <c r="B2153" s="3" t="s">
        <v>2669</v>
      </c>
      <c r="C2153" s="4" t="str">
        <f>HYPERLINK("http://www.rncp.cncp.gouv.fr/grand-public/visualisationFiche?format=fr&amp;fiche=5926","5926")</f>
        <v>5926</v>
      </c>
      <c r="D2153" s="4" t="str">
        <f>HYPERLINK("http://www.intercariforef.org/formations/certification-80733.html","80733")</f>
        <v>80733</v>
      </c>
      <c r="E2153" s="5">
        <v>130951</v>
      </c>
      <c r="F2153" s="5" t="s">
        <v>10</v>
      </c>
      <c r="G2153" s="5" t="s">
        <v>11</v>
      </c>
      <c r="H2153" s="3" t="s">
        <v>1889</v>
      </c>
    </row>
    <row r="2154" spans="1:8" ht="27.6" x14ac:dyDescent="0.25">
      <c r="A2154" s="3" t="s">
        <v>2317</v>
      </c>
      <c r="B2154" s="3" t="s">
        <v>2670</v>
      </c>
      <c r="C2154" s="4" t="str">
        <f>HYPERLINK("http://www.rncp.cncp.gouv.fr/grand-public/visualisationFiche?format=fr&amp;fiche=2383","2383")</f>
        <v>2383</v>
      </c>
      <c r="D2154" s="4" t="str">
        <f>HYPERLINK("http://www.intercariforef.org/formations/certification-25358.html","25358")</f>
        <v>25358</v>
      </c>
      <c r="E2154" s="5">
        <v>161327</v>
      </c>
      <c r="F2154" s="5" t="s">
        <v>10</v>
      </c>
      <c r="G2154" s="5" t="s">
        <v>11</v>
      </c>
      <c r="H2154" s="3" t="s">
        <v>1889</v>
      </c>
    </row>
    <row r="2155" spans="1:8" ht="27.6" x14ac:dyDescent="0.25">
      <c r="A2155" s="3" t="s">
        <v>2317</v>
      </c>
      <c r="B2155" s="3" t="s">
        <v>2671</v>
      </c>
      <c r="C2155" s="4" t="str">
        <f>HYPERLINK("http://www.rncp.cncp.gouv.fr/grand-public/visualisationFiche?format=fr&amp;fiche=1268","1268")</f>
        <v>1268</v>
      </c>
      <c r="D2155" s="4" t="str">
        <f>HYPERLINK("http://www.intercariforef.org/formations/certification-25367.html","25367")</f>
        <v>25367</v>
      </c>
      <c r="E2155" s="5">
        <v>130968</v>
      </c>
      <c r="F2155" s="5" t="s">
        <v>10</v>
      </c>
      <c r="G2155" s="5" t="s">
        <v>11</v>
      </c>
      <c r="H2155" s="3" t="s">
        <v>1889</v>
      </c>
    </row>
    <row r="2156" spans="1:8" ht="27.6" x14ac:dyDescent="0.25">
      <c r="A2156" s="3" t="s">
        <v>2317</v>
      </c>
      <c r="B2156" s="3" t="s">
        <v>2672</v>
      </c>
      <c r="C2156" s="4" t="str">
        <f>HYPERLINK("http://www.rncp.cncp.gouv.fr/grand-public/visualisationFiche?format=fr&amp;fiche=13620","13620")</f>
        <v>13620</v>
      </c>
      <c r="D2156" s="4" t="str">
        <f>HYPERLINK("http://www.intercariforef.org/formations/certification-77069.html","77069")</f>
        <v>77069</v>
      </c>
      <c r="E2156" s="5">
        <v>130969</v>
      </c>
      <c r="F2156" s="5" t="s">
        <v>10</v>
      </c>
      <c r="G2156" s="5" t="s">
        <v>11</v>
      </c>
      <c r="H2156" s="3" t="s">
        <v>1889</v>
      </c>
    </row>
    <row r="2157" spans="1:8" ht="13.8" x14ac:dyDescent="0.25">
      <c r="A2157" s="3" t="s">
        <v>2317</v>
      </c>
      <c r="B2157" s="3" t="s">
        <v>2673</v>
      </c>
      <c r="C2157" s="4" t="str">
        <f>HYPERLINK("http://www.rncp.cncp.gouv.fr/grand-public/visualisationFiche?format=fr&amp;fiche=23932","23932")</f>
        <v>23932</v>
      </c>
      <c r="D2157" s="4" t="str">
        <f>HYPERLINK("http://www.intercariforef.org/formations/certification-77533.html","77533")</f>
        <v>77533</v>
      </c>
      <c r="E2157" s="5">
        <v>2187</v>
      </c>
      <c r="F2157" s="5" t="s">
        <v>10</v>
      </c>
      <c r="G2157" s="5" t="s">
        <v>11</v>
      </c>
      <c r="H2157" s="3" t="s">
        <v>1770</v>
      </c>
    </row>
    <row r="2158" spans="1:8" ht="27.6" x14ac:dyDescent="0.25">
      <c r="A2158" s="3" t="s">
        <v>2317</v>
      </c>
      <c r="B2158" s="3" t="s">
        <v>2674</v>
      </c>
      <c r="C2158" s="4" t="str">
        <f>HYPERLINK("http://www.rncp.cncp.gouv.fr/grand-public/visualisationFiche?format=fr&amp;fiche=9809","9809")</f>
        <v>9809</v>
      </c>
      <c r="D2158" s="4" t="str">
        <f>HYPERLINK("http://www.intercariforef.org/formations/certification-53240.html","53240")</f>
        <v>53240</v>
      </c>
      <c r="E2158" s="5">
        <v>130879</v>
      </c>
      <c r="F2158" s="5" t="s">
        <v>10</v>
      </c>
      <c r="G2158" s="5" t="s">
        <v>11</v>
      </c>
      <c r="H2158" s="3" t="s">
        <v>2675</v>
      </c>
    </row>
    <row r="2159" spans="1:8" ht="13.8" x14ac:dyDescent="0.25">
      <c r="A2159" s="3" t="s">
        <v>2317</v>
      </c>
      <c r="B2159" s="3" t="s">
        <v>2676</v>
      </c>
      <c r="C2159" s="4" t="str">
        <f>HYPERLINK("http://www.rncp.cncp.gouv.fr/grand-public/visualisationFiche?format=fr&amp;fiche=16188","16188")</f>
        <v>16188</v>
      </c>
      <c r="D2159" s="4" t="str">
        <f>HYPERLINK("http://www.intercariforef.org/formations/certification-80780.html","80780")</f>
        <v>80780</v>
      </c>
      <c r="E2159" s="5">
        <v>161328</v>
      </c>
      <c r="F2159" s="5" t="s">
        <v>10</v>
      </c>
      <c r="G2159" s="5" t="s">
        <v>11</v>
      </c>
      <c r="H2159" s="3" t="s">
        <v>2584</v>
      </c>
    </row>
    <row r="2160" spans="1:8" ht="13.8" x14ac:dyDescent="0.25">
      <c r="A2160" s="3" t="s">
        <v>2677</v>
      </c>
      <c r="B2160" s="3" t="s">
        <v>2678</v>
      </c>
      <c r="C2160" s="4" t="str">
        <f>HYPERLINK("http://www.rncp.cncp.gouv.fr/grand-public/visualisationFiche?format=fr&amp;fiche=17161","17161")</f>
        <v>17161</v>
      </c>
      <c r="D2160" s="4" t="str">
        <f>HYPERLINK("http://www.intercariforef.org/formations/certification-73635.html","73635")</f>
        <v>73635</v>
      </c>
      <c r="E2160" s="5">
        <v>2011</v>
      </c>
      <c r="F2160" s="5" t="s">
        <v>10</v>
      </c>
      <c r="G2160" s="5" t="s">
        <v>11</v>
      </c>
      <c r="H2160" s="3" t="s">
        <v>2679</v>
      </c>
    </row>
    <row r="2161" spans="1:8" ht="13.8" x14ac:dyDescent="0.25">
      <c r="A2161" s="3" t="s">
        <v>2677</v>
      </c>
      <c r="B2161" s="3" t="s">
        <v>2680</v>
      </c>
      <c r="C2161" s="4" t="str">
        <f>HYPERLINK("http://www.rncp.cncp.gouv.fr/grand-public/visualisationFiche?format=fr&amp;fiche=6244","6244")</f>
        <v>6244</v>
      </c>
      <c r="D2161" s="4" t="str">
        <f>HYPERLINK("http://www.intercariforef.org/formations/certification-60598.html","60598")</f>
        <v>60598</v>
      </c>
      <c r="E2161" s="5">
        <v>140388</v>
      </c>
      <c r="F2161" s="5" t="s">
        <v>10</v>
      </c>
      <c r="G2161" s="5" t="s">
        <v>11</v>
      </c>
      <c r="H2161" s="3" t="s">
        <v>2681</v>
      </c>
    </row>
    <row r="2162" spans="1:8" ht="13.8" x14ac:dyDescent="0.25">
      <c r="A2162" s="3" t="s">
        <v>2677</v>
      </c>
      <c r="B2162" s="3" t="s">
        <v>2682</v>
      </c>
      <c r="C2162" s="4" t="str">
        <f>HYPERLINK("http://www.rncp.cncp.gouv.fr/grand-public/visualisationFiche?format=fr&amp;fiche=14424","14424")</f>
        <v>14424</v>
      </c>
      <c r="D2162" s="4" t="str">
        <f>HYPERLINK("http://www.intercariforef.org/formations/certification-54304.html","54304")</f>
        <v>54304</v>
      </c>
      <c r="E2162" s="5">
        <v>130747</v>
      </c>
      <c r="F2162" s="5" t="s">
        <v>10</v>
      </c>
      <c r="G2162" s="5" t="s">
        <v>11</v>
      </c>
      <c r="H2162" s="3" t="s">
        <v>2683</v>
      </c>
    </row>
    <row r="2163" spans="1:8" ht="13.8" x14ac:dyDescent="0.25">
      <c r="A2163" s="3" t="s">
        <v>2677</v>
      </c>
      <c r="B2163" s="3" t="s">
        <v>2684</v>
      </c>
      <c r="C2163" s="4" t="str">
        <f>HYPERLINK("http://www.rncp.cncp.gouv.fr/grand-public/visualisationFiche?format=fr&amp;fiche=6551","6551")</f>
        <v>6551</v>
      </c>
      <c r="D2163" s="4" t="str">
        <f>HYPERLINK("http://www.intercariforef.org/formations/certification-62682.html","62682")</f>
        <v>62682</v>
      </c>
      <c r="E2163" s="5">
        <v>140390</v>
      </c>
      <c r="F2163" s="5" t="s">
        <v>10</v>
      </c>
      <c r="G2163" s="5" t="s">
        <v>11</v>
      </c>
      <c r="H2163" s="3" t="s">
        <v>2685</v>
      </c>
    </row>
    <row r="2164" spans="1:8" ht="13.8" x14ac:dyDescent="0.25">
      <c r="A2164" s="3" t="s">
        <v>2677</v>
      </c>
      <c r="B2164" s="3" t="s">
        <v>2686</v>
      </c>
      <c r="C2164" s="4" t="str">
        <f>HYPERLINK("http://www.rncp.cncp.gouv.fr/grand-public/visualisationFiche?format=fr&amp;fiche=4014","4014")</f>
        <v>4014</v>
      </c>
      <c r="D2164" s="4" t="str">
        <f>HYPERLINK("http://www.intercariforef.org/formations/certification-47231.html","47231")</f>
        <v>47231</v>
      </c>
      <c r="E2164" s="5">
        <v>140391</v>
      </c>
      <c r="F2164" s="5" t="s">
        <v>10</v>
      </c>
      <c r="G2164" s="5" t="s">
        <v>11</v>
      </c>
      <c r="H2164" s="3" t="s">
        <v>2687</v>
      </c>
    </row>
    <row r="2165" spans="1:8" ht="13.8" x14ac:dyDescent="0.25">
      <c r="A2165" s="3" t="s">
        <v>2677</v>
      </c>
      <c r="B2165" s="3" t="s">
        <v>2688</v>
      </c>
      <c r="C2165" s="4" t="str">
        <f>HYPERLINK("http://www.rncp.cncp.gouv.fr/grand-public/visualisationFiche?format=fr&amp;fiche=1336","1336")</f>
        <v>1336</v>
      </c>
      <c r="D2165" s="4" t="str">
        <f>HYPERLINK("http://www.intercariforef.org/formations/certification-59621.html","59621")</f>
        <v>59621</v>
      </c>
      <c r="E2165" s="5">
        <v>130748</v>
      </c>
      <c r="F2165" s="5" t="s">
        <v>10</v>
      </c>
      <c r="G2165" s="5" t="s">
        <v>11</v>
      </c>
      <c r="H2165" s="3" t="s">
        <v>2683</v>
      </c>
    </row>
    <row r="2166" spans="1:8" ht="13.8" x14ac:dyDescent="0.25">
      <c r="A2166" s="3" t="s">
        <v>2677</v>
      </c>
      <c r="B2166" s="3" t="s">
        <v>2689</v>
      </c>
      <c r="C2166" s="4" t="str">
        <f>HYPERLINK("http://www.rncp.cncp.gouv.fr/grand-public/visualisationFiche?format=fr&amp;fiche=2219","2219")</f>
        <v>2219</v>
      </c>
      <c r="D2166" s="4" t="str">
        <f>HYPERLINK("http://www.intercariforef.org/formations/certification-53660.html","53660")</f>
        <v>53660</v>
      </c>
      <c r="E2166" s="5">
        <v>140392</v>
      </c>
      <c r="F2166" s="5" t="s">
        <v>10</v>
      </c>
      <c r="G2166" s="5" t="s">
        <v>11</v>
      </c>
      <c r="H2166" s="3" t="s">
        <v>2690</v>
      </c>
    </row>
    <row r="2167" spans="1:8" ht="13.8" x14ac:dyDescent="0.25">
      <c r="A2167" s="3" t="s">
        <v>2677</v>
      </c>
      <c r="B2167" s="3" t="s">
        <v>2691</v>
      </c>
      <c r="C2167" s="4" t="str">
        <f>HYPERLINK("http://www.rncp.cncp.gouv.fr/grand-public/visualisationFiche?format=fr&amp;fiche=17800","17800")</f>
        <v>17800</v>
      </c>
      <c r="D2167" s="4" t="str">
        <f>HYPERLINK("http://www.intercariforef.org/formations/certification-63670.html","63670")</f>
        <v>63670</v>
      </c>
      <c r="E2167" s="5">
        <v>130758</v>
      </c>
      <c r="F2167" s="5" t="s">
        <v>10</v>
      </c>
      <c r="G2167" s="5" t="s">
        <v>11</v>
      </c>
      <c r="H2167" s="3" t="s">
        <v>2692</v>
      </c>
    </row>
    <row r="2168" spans="1:8" ht="13.8" x14ac:dyDescent="0.25">
      <c r="A2168" s="3" t="s">
        <v>2677</v>
      </c>
      <c r="B2168" s="3" t="s">
        <v>2693</v>
      </c>
      <c r="C2168" s="4" t="str">
        <f>HYPERLINK("http://www.rncp.cncp.gouv.fr/grand-public/visualisationFiche?format=fr&amp;fiche=17914","17914")</f>
        <v>17914</v>
      </c>
      <c r="D2168" s="4" t="str">
        <f>HYPERLINK("http://www.intercariforef.org/formations/certification-63671.html","63671")</f>
        <v>63671</v>
      </c>
      <c r="E2168" s="5">
        <v>130759</v>
      </c>
      <c r="F2168" s="5" t="s">
        <v>10</v>
      </c>
      <c r="G2168" s="5" t="s">
        <v>11</v>
      </c>
      <c r="H2168" s="3" t="s">
        <v>2694</v>
      </c>
    </row>
    <row r="2169" spans="1:8" ht="13.8" x14ac:dyDescent="0.25">
      <c r="A2169" s="3" t="s">
        <v>2677</v>
      </c>
      <c r="B2169" s="3" t="s">
        <v>2695</v>
      </c>
      <c r="C2169" s="4" t="str">
        <f>HYPERLINK("http://www.rncp.cncp.gouv.fr/grand-public/visualisationFiche?format=fr&amp;fiche=6604","6604")</f>
        <v>6604</v>
      </c>
      <c r="D2169" s="4" t="str">
        <f>HYPERLINK("http://www.intercariforef.org/formations/certification-63803.html","63803")</f>
        <v>63803</v>
      </c>
      <c r="E2169" s="5">
        <v>130749</v>
      </c>
      <c r="F2169" s="5" t="s">
        <v>10</v>
      </c>
      <c r="G2169" s="5" t="s">
        <v>11</v>
      </c>
      <c r="H2169" s="3" t="s">
        <v>81</v>
      </c>
    </row>
    <row r="2170" spans="1:8" ht="13.8" x14ac:dyDescent="0.25">
      <c r="A2170" s="3" t="s">
        <v>2677</v>
      </c>
      <c r="B2170" s="3" t="s">
        <v>2696</v>
      </c>
      <c r="C2170" s="5"/>
      <c r="D2170" s="4" t="str">
        <f>HYPERLINK("http://www.intercariforef.org/formations/certification-80803.html","80803")</f>
        <v>80803</v>
      </c>
      <c r="E2170" s="5">
        <v>140393</v>
      </c>
      <c r="F2170" s="5" t="s">
        <v>10</v>
      </c>
      <c r="G2170" s="5" t="s">
        <v>11</v>
      </c>
      <c r="H2170" s="3" t="s">
        <v>81</v>
      </c>
    </row>
    <row r="2171" spans="1:8" ht="13.8" x14ac:dyDescent="0.25">
      <c r="A2171" s="3" t="s">
        <v>2677</v>
      </c>
      <c r="B2171" s="3" t="s">
        <v>2697</v>
      </c>
      <c r="C2171" s="4" t="str">
        <f>HYPERLINK("http://www.rncp.cncp.gouv.fr/grand-public/visualisationFiche?format=fr&amp;fiche=6606","6606")</f>
        <v>6606</v>
      </c>
      <c r="D2171" s="4" t="str">
        <f>HYPERLINK("http://www.intercariforef.org/formations/certification-63751.html","63751")</f>
        <v>63751</v>
      </c>
      <c r="E2171" s="5">
        <v>140395</v>
      </c>
      <c r="F2171" s="5" t="s">
        <v>10</v>
      </c>
      <c r="G2171" s="5" t="s">
        <v>11</v>
      </c>
      <c r="H2171" s="3" t="s">
        <v>81</v>
      </c>
    </row>
    <row r="2172" spans="1:8" ht="13.8" x14ac:dyDescent="0.25">
      <c r="A2172" s="3" t="s">
        <v>2677</v>
      </c>
      <c r="B2172" s="3" t="s">
        <v>2698</v>
      </c>
      <c r="C2172" s="4" t="str">
        <f>HYPERLINK("http://www.rncp.cncp.gouv.fr/grand-public/visualisationFiche?format=fr&amp;fiche=6760","6760")</f>
        <v>6760</v>
      </c>
      <c r="D2172" s="4" t="str">
        <f>HYPERLINK("http://www.intercariforef.org/formations/certification-63806.html","63806")</f>
        <v>63806</v>
      </c>
      <c r="E2172" s="5">
        <v>140396</v>
      </c>
      <c r="F2172" s="5" t="s">
        <v>10</v>
      </c>
      <c r="G2172" s="5" t="s">
        <v>11</v>
      </c>
      <c r="H2172" s="3" t="s">
        <v>81</v>
      </c>
    </row>
    <row r="2173" spans="1:8" ht="13.8" x14ac:dyDescent="0.25">
      <c r="A2173" s="3" t="s">
        <v>2677</v>
      </c>
      <c r="B2173" s="3" t="s">
        <v>2699</v>
      </c>
      <c r="C2173" s="4" t="str">
        <f>HYPERLINK("http://www.rncp.cncp.gouv.fr/grand-public/visualisationFiche?format=fr&amp;fiche=7511","7511")</f>
        <v>7511</v>
      </c>
      <c r="D2173" s="4" t="str">
        <f>HYPERLINK("http://www.intercariforef.org/formations/certification-63757.html","63757")</f>
        <v>63757</v>
      </c>
      <c r="E2173" s="5">
        <v>130750</v>
      </c>
      <c r="F2173" s="5" t="s">
        <v>10</v>
      </c>
      <c r="G2173" s="5" t="s">
        <v>11</v>
      </c>
      <c r="H2173" s="3" t="s">
        <v>81</v>
      </c>
    </row>
    <row r="2174" spans="1:8" ht="13.8" x14ac:dyDescent="0.25">
      <c r="A2174" s="3" t="s">
        <v>2677</v>
      </c>
      <c r="B2174" s="3" t="s">
        <v>2700</v>
      </c>
      <c r="C2174" s="4" t="str">
        <f>HYPERLINK("http://www.rncp.cncp.gouv.fr/grand-public/visualisationFiche?format=fr&amp;fiche=7581","7581")</f>
        <v>7581</v>
      </c>
      <c r="D2174" s="4" t="str">
        <f>HYPERLINK("http://www.intercariforef.org/formations/certification-63800.html","63800")</f>
        <v>63800</v>
      </c>
      <c r="E2174" s="5">
        <v>130751</v>
      </c>
      <c r="F2174" s="5" t="s">
        <v>10</v>
      </c>
      <c r="G2174" s="5" t="s">
        <v>11</v>
      </c>
      <c r="H2174" s="3" t="s">
        <v>81</v>
      </c>
    </row>
    <row r="2175" spans="1:8" ht="13.8" x14ac:dyDescent="0.25">
      <c r="A2175" s="3" t="s">
        <v>2677</v>
      </c>
      <c r="B2175" s="3" t="s">
        <v>2701</v>
      </c>
      <c r="C2175" s="4" t="str">
        <f>HYPERLINK("http://www.rncp.cncp.gouv.fr/grand-public/visualisationFiche?format=fr&amp;fiche=12803","12803")</f>
        <v>12803</v>
      </c>
      <c r="D2175" s="4" t="str">
        <f>HYPERLINK("http://www.intercariforef.org/formations/certification-76211.html","76211")</f>
        <v>76211</v>
      </c>
      <c r="E2175" s="5">
        <v>140397</v>
      </c>
      <c r="F2175" s="5" t="s">
        <v>10</v>
      </c>
      <c r="G2175" s="5" t="s">
        <v>11</v>
      </c>
      <c r="H2175" s="3" t="s">
        <v>81</v>
      </c>
    </row>
    <row r="2176" spans="1:8" ht="13.8" x14ac:dyDescent="0.25">
      <c r="A2176" s="3" t="s">
        <v>2677</v>
      </c>
      <c r="B2176" s="3" t="s">
        <v>2702</v>
      </c>
      <c r="C2176" s="4" t="str">
        <f>HYPERLINK("http://www.rncp.cncp.gouv.fr/grand-public/visualisationFiche?format=fr&amp;fiche=12803","12803")</f>
        <v>12803</v>
      </c>
      <c r="D2176" s="4" t="str">
        <f>HYPERLINK("http://www.intercariforef.org/formations/certification-76570.html","76570")</f>
        <v>76570</v>
      </c>
      <c r="E2176" s="5">
        <v>140398</v>
      </c>
      <c r="F2176" s="5" t="s">
        <v>10</v>
      </c>
      <c r="G2176" s="5" t="s">
        <v>11</v>
      </c>
      <c r="H2176" s="3" t="s">
        <v>81</v>
      </c>
    </row>
    <row r="2177" spans="1:8" ht="13.8" x14ac:dyDescent="0.25">
      <c r="A2177" s="3" t="s">
        <v>2677</v>
      </c>
      <c r="B2177" s="3" t="s">
        <v>2703</v>
      </c>
      <c r="C2177" s="4" t="str">
        <f>HYPERLINK("http://www.rncp.cncp.gouv.fr/grand-public/visualisationFiche?format=fr&amp;fiche=14324","14324")</f>
        <v>14324</v>
      </c>
      <c r="D2177" s="4" t="str">
        <f>HYPERLINK("http://www.intercariforef.org/formations/certification-75864.html","75864")</f>
        <v>75864</v>
      </c>
      <c r="E2177" s="5">
        <v>140399</v>
      </c>
      <c r="F2177" s="5" t="s">
        <v>10</v>
      </c>
      <c r="G2177" s="5" t="s">
        <v>11</v>
      </c>
      <c r="H2177" s="3" t="s">
        <v>81</v>
      </c>
    </row>
    <row r="2178" spans="1:8" ht="13.8" x14ac:dyDescent="0.25">
      <c r="A2178" s="3" t="s">
        <v>2677</v>
      </c>
      <c r="B2178" s="3" t="s">
        <v>2704</v>
      </c>
      <c r="C2178" s="4" t="str">
        <f>HYPERLINK("http://www.rncp.cncp.gouv.fr/grand-public/visualisationFiche?format=fr&amp;fiche=10536","10536")</f>
        <v>10536</v>
      </c>
      <c r="D2178" s="4" t="str">
        <f>HYPERLINK("http://www.intercariforef.org/formations/certification-64045.html","64045")</f>
        <v>64045</v>
      </c>
      <c r="E2178" s="5">
        <v>140400</v>
      </c>
      <c r="F2178" s="5" t="s">
        <v>10</v>
      </c>
      <c r="G2178" s="5" t="s">
        <v>11</v>
      </c>
      <c r="H2178" s="3" t="s">
        <v>2026</v>
      </c>
    </row>
    <row r="2179" spans="1:8" ht="27.6" x14ac:dyDescent="0.25">
      <c r="A2179" s="3" t="s">
        <v>2677</v>
      </c>
      <c r="B2179" s="3" t="s">
        <v>2705</v>
      </c>
      <c r="C2179" s="4" t="str">
        <f>HYPERLINK("http://www.rncp.cncp.gouv.fr/grand-public/visualisationFiche?format=fr&amp;fiche=15126","15126")</f>
        <v>15126</v>
      </c>
      <c r="D2179" s="4" t="str">
        <f>HYPERLINK("http://www.intercariforef.org/formations/certification-78883.html","78883")</f>
        <v>78883</v>
      </c>
      <c r="E2179" s="5">
        <v>2024</v>
      </c>
      <c r="F2179" s="5" t="s">
        <v>10</v>
      </c>
      <c r="G2179" s="5" t="s">
        <v>11</v>
      </c>
      <c r="H2179" s="3" t="s">
        <v>2706</v>
      </c>
    </row>
    <row r="2180" spans="1:8" ht="27.6" x14ac:dyDescent="0.25">
      <c r="A2180" s="3" t="s">
        <v>2677</v>
      </c>
      <c r="B2180" s="3" t="s">
        <v>2707</v>
      </c>
      <c r="C2180" s="4" t="str">
        <f>HYPERLINK("http://www.rncp.cncp.gouv.fr/grand-public/visualisationFiche?format=fr&amp;fiche=1490","1490")</f>
        <v>1490</v>
      </c>
      <c r="D2180" s="4" t="str">
        <f>HYPERLINK("http://www.intercariforef.org/formations/certification-43491.html","43491")</f>
        <v>43491</v>
      </c>
      <c r="E2180" s="5">
        <v>154437</v>
      </c>
      <c r="F2180" s="5" t="s">
        <v>10</v>
      </c>
      <c r="G2180" s="5" t="s">
        <v>11</v>
      </c>
      <c r="H2180" s="3" t="s">
        <v>1937</v>
      </c>
    </row>
    <row r="2181" spans="1:8" ht="27.6" x14ac:dyDescent="0.25">
      <c r="A2181" s="3" t="s">
        <v>2677</v>
      </c>
      <c r="B2181" s="3" t="s">
        <v>2708</v>
      </c>
      <c r="C2181" s="4" t="str">
        <f>HYPERLINK("http://www.rncp.cncp.gouv.fr/grand-public/visualisationFiche?format=fr&amp;fiche=7580","7580")</f>
        <v>7580</v>
      </c>
      <c r="D2181" s="4" t="str">
        <f>HYPERLINK("http://www.intercariforef.org/formations/certification-58833.html","58833")</f>
        <v>58833</v>
      </c>
      <c r="E2181" s="5">
        <v>140401</v>
      </c>
      <c r="F2181" s="5" t="s">
        <v>10</v>
      </c>
      <c r="G2181" s="5" t="s">
        <v>11</v>
      </c>
      <c r="H2181" s="3" t="s">
        <v>2026</v>
      </c>
    </row>
    <row r="2182" spans="1:8" ht="13.8" x14ac:dyDescent="0.25">
      <c r="A2182" s="3" t="s">
        <v>2677</v>
      </c>
      <c r="B2182" s="3" t="s">
        <v>2709</v>
      </c>
      <c r="C2182" s="4" t="str">
        <f>HYPERLINK("http://www.rncp.cncp.gouv.fr/grand-public/visualisationFiche?format=fr&amp;fiche=7580","7580")</f>
        <v>7580</v>
      </c>
      <c r="D2182" s="4" t="str">
        <f>HYPERLINK("http://www.intercariforef.org/formations/certification-58831.html","58831")</f>
        <v>58831</v>
      </c>
      <c r="E2182" s="5">
        <v>140403</v>
      </c>
      <c r="F2182" s="5" t="s">
        <v>10</v>
      </c>
      <c r="G2182" s="5" t="s">
        <v>11</v>
      </c>
      <c r="H2182" s="3" t="s">
        <v>2026</v>
      </c>
    </row>
    <row r="2183" spans="1:8" ht="13.8" x14ac:dyDescent="0.25">
      <c r="A2183" s="3" t="s">
        <v>2677</v>
      </c>
      <c r="B2183" s="3" t="s">
        <v>2710</v>
      </c>
      <c r="C2183" s="4" t="str">
        <f>HYPERLINK("http://www.rncp.cncp.gouv.fr/grand-public/visualisationFiche?format=fr&amp;fiche=7580","7580")</f>
        <v>7580</v>
      </c>
      <c r="D2183" s="4" t="str">
        <f>HYPERLINK("http://www.intercariforef.org/formations/certification-58832.html","58832")</f>
        <v>58832</v>
      </c>
      <c r="E2183" s="5">
        <v>140402</v>
      </c>
      <c r="F2183" s="5" t="s">
        <v>10</v>
      </c>
      <c r="G2183" s="5" t="s">
        <v>11</v>
      </c>
      <c r="H2183" s="3" t="s">
        <v>2026</v>
      </c>
    </row>
    <row r="2184" spans="1:8" ht="27.6" x14ac:dyDescent="0.25">
      <c r="A2184" s="3" t="s">
        <v>2677</v>
      </c>
      <c r="B2184" s="3" t="s">
        <v>2711</v>
      </c>
      <c r="C2184" s="4" t="str">
        <f>HYPERLINK("http://www.rncp.cncp.gouv.fr/grand-public/visualisationFiche?format=fr&amp;fiche=5833","5833")</f>
        <v>5833</v>
      </c>
      <c r="D2184" s="4" t="str">
        <f>HYPERLINK("http://www.intercariforef.org/formations/certification-55718.html","55718")</f>
        <v>55718</v>
      </c>
      <c r="E2184" s="5">
        <v>2028</v>
      </c>
      <c r="F2184" s="5" t="s">
        <v>10</v>
      </c>
      <c r="G2184" s="5" t="s">
        <v>11</v>
      </c>
      <c r="H2184" s="3" t="s">
        <v>2026</v>
      </c>
    </row>
    <row r="2185" spans="1:8" ht="27.6" x14ac:dyDescent="0.25">
      <c r="A2185" s="3" t="s">
        <v>2677</v>
      </c>
      <c r="B2185" s="3" t="s">
        <v>2712</v>
      </c>
      <c r="C2185" s="4" t="str">
        <f>HYPERLINK("http://www.rncp.cncp.gouv.fr/grand-public/visualisationFiche?format=fr&amp;fiche=15156","15156")</f>
        <v>15156</v>
      </c>
      <c r="D2185" s="4" t="str">
        <f>HYPERLINK("http://www.intercariforef.org/formations/certification-55724.html","55724")</f>
        <v>55724</v>
      </c>
      <c r="E2185" s="5">
        <v>2025</v>
      </c>
      <c r="F2185" s="5" t="s">
        <v>10</v>
      </c>
      <c r="G2185" s="5" t="s">
        <v>11</v>
      </c>
      <c r="H2185" s="3" t="s">
        <v>2026</v>
      </c>
    </row>
    <row r="2186" spans="1:8" ht="27.6" x14ac:dyDescent="0.25">
      <c r="A2186" s="3" t="s">
        <v>2677</v>
      </c>
      <c r="B2186" s="3" t="s">
        <v>2713</v>
      </c>
      <c r="C2186" s="4" t="str">
        <f>HYPERLINK("http://www.rncp.cncp.gouv.fr/grand-public/visualisationFiche?format=fr&amp;fiche=5831","5831")</f>
        <v>5831</v>
      </c>
      <c r="D2186" s="4" t="str">
        <f>HYPERLINK("http://www.intercariforef.org/formations/certification-55725.html","55725")</f>
        <v>55725</v>
      </c>
      <c r="E2186" s="5">
        <v>2029</v>
      </c>
      <c r="F2186" s="5" t="s">
        <v>10</v>
      </c>
      <c r="G2186" s="5" t="s">
        <v>11</v>
      </c>
      <c r="H2186" s="3" t="s">
        <v>2026</v>
      </c>
    </row>
    <row r="2187" spans="1:8" ht="13.8" x14ac:dyDescent="0.25">
      <c r="A2187" s="3" t="s">
        <v>2677</v>
      </c>
      <c r="B2187" s="3" t="s">
        <v>2714</v>
      </c>
      <c r="C2187" s="4" t="str">
        <f>HYPERLINK("http://www.rncp.cncp.gouv.fr/grand-public/visualisationFiche?format=fr&amp;fiche=5832","5832")</f>
        <v>5832</v>
      </c>
      <c r="D2187" s="4" t="str">
        <f>HYPERLINK("http://www.intercariforef.org/formations/certification-55729.html","55729")</f>
        <v>55729</v>
      </c>
      <c r="E2187" s="5">
        <v>140406</v>
      </c>
      <c r="F2187" s="5" t="s">
        <v>10</v>
      </c>
      <c r="G2187" s="5" t="s">
        <v>11</v>
      </c>
      <c r="H2187" s="3" t="s">
        <v>2026</v>
      </c>
    </row>
    <row r="2188" spans="1:8" ht="13.8" x14ac:dyDescent="0.25">
      <c r="A2188" s="3" t="s">
        <v>2677</v>
      </c>
      <c r="B2188" s="3" t="s">
        <v>2715</v>
      </c>
      <c r="C2188" s="4" t="str">
        <f>HYPERLINK("http://www.rncp.cncp.gouv.fr/grand-public/visualisationFiche?format=fr&amp;fiche=5832","5832")</f>
        <v>5832</v>
      </c>
      <c r="D2188" s="4" t="str">
        <f>HYPERLINK("http://www.intercariforef.org/formations/certification-55730.html","55730")</f>
        <v>55730</v>
      </c>
      <c r="E2188" s="5">
        <v>140405</v>
      </c>
      <c r="F2188" s="5" t="s">
        <v>10</v>
      </c>
      <c r="G2188" s="5" t="s">
        <v>11</v>
      </c>
      <c r="H2188" s="3" t="s">
        <v>2026</v>
      </c>
    </row>
    <row r="2189" spans="1:8" ht="13.8" x14ac:dyDescent="0.25">
      <c r="A2189" s="3" t="s">
        <v>2677</v>
      </c>
      <c r="B2189" s="3" t="s">
        <v>2716</v>
      </c>
      <c r="C2189" s="4" t="str">
        <f>HYPERLINK("http://www.rncp.cncp.gouv.fr/grand-public/visualisationFiche?format=fr&amp;fiche=5832","5832")</f>
        <v>5832</v>
      </c>
      <c r="D2189" s="4" t="str">
        <f>HYPERLINK("http://www.intercariforef.org/formations/certification-55731.html","55731")</f>
        <v>55731</v>
      </c>
      <c r="E2189" s="5">
        <v>140404</v>
      </c>
      <c r="F2189" s="5" t="s">
        <v>10</v>
      </c>
      <c r="G2189" s="5" t="s">
        <v>11</v>
      </c>
      <c r="H2189" s="3" t="s">
        <v>2026</v>
      </c>
    </row>
    <row r="2190" spans="1:8" ht="13.8" x14ac:dyDescent="0.25">
      <c r="A2190" s="3" t="s">
        <v>2677</v>
      </c>
      <c r="B2190" s="3" t="s">
        <v>2717</v>
      </c>
      <c r="C2190" s="5"/>
      <c r="D2190" s="4" t="str">
        <f>HYPERLINK("http://www.intercariforef.org/formations/certification-81312.html","81312")</f>
        <v>81312</v>
      </c>
      <c r="E2190" s="5">
        <v>2031</v>
      </c>
      <c r="F2190" s="5" t="s">
        <v>10</v>
      </c>
      <c r="G2190" s="5" t="s">
        <v>11</v>
      </c>
      <c r="H2190" s="3" t="s">
        <v>2504</v>
      </c>
    </row>
    <row r="2191" spans="1:8" ht="13.8" x14ac:dyDescent="0.25">
      <c r="A2191" s="3" t="s">
        <v>2677</v>
      </c>
      <c r="B2191" s="3" t="s">
        <v>2718</v>
      </c>
      <c r="C2191" s="4" t="str">
        <f>HYPERLINK("http://www.rncp.cncp.gouv.fr/grand-public/visualisationFiche?format=fr&amp;fiche=500","500")</f>
        <v>500</v>
      </c>
      <c r="D2191" s="4" t="str">
        <f>HYPERLINK("http://www.intercariforef.org/formations/certification-21105.html","21105")</f>
        <v>21105</v>
      </c>
      <c r="E2191" s="5">
        <v>141083</v>
      </c>
      <c r="F2191" s="5" t="s">
        <v>10</v>
      </c>
      <c r="G2191" s="5" t="s">
        <v>11</v>
      </c>
      <c r="H2191" s="3" t="s">
        <v>81</v>
      </c>
    </row>
    <row r="2192" spans="1:8" ht="13.8" x14ac:dyDescent="0.25">
      <c r="A2192" s="3" t="s">
        <v>2677</v>
      </c>
      <c r="B2192" s="3" t="s">
        <v>2719</v>
      </c>
      <c r="C2192" s="4" t="str">
        <f>HYPERLINK("http://www.rncp.cncp.gouv.fr/grand-public/visualisationFiche?format=fr&amp;fiche=2714","2714")</f>
        <v>2714</v>
      </c>
      <c r="D2192" s="4" t="str">
        <f>HYPERLINK("http://www.intercariforef.org/formations/certification-21111.html","21111")</f>
        <v>21111</v>
      </c>
      <c r="E2192" s="5">
        <v>154430</v>
      </c>
      <c r="F2192" s="5" t="s">
        <v>10</v>
      </c>
      <c r="G2192" s="5" t="s">
        <v>11</v>
      </c>
      <c r="H2192" s="3" t="s">
        <v>81</v>
      </c>
    </row>
    <row r="2193" spans="1:8" ht="13.8" x14ac:dyDescent="0.25">
      <c r="A2193" s="3" t="s">
        <v>2677</v>
      </c>
      <c r="B2193" s="3" t="s">
        <v>2720</v>
      </c>
      <c r="C2193" s="4" t="str">
        <f>HYPERLINK("http://www.rncp.cncp.gouv.fr/grand-public/visualisationFiche?format=fr&amp;fiche=1145","1145")</f>
        <v>1145</v>
      </c>
      <c r="D2193" s="4" t="str">
        <f>HYPERLINK("http://www.intercariforef.org/formations/certification-21123.html","21123")</f>
        <v>21123</v>
      </c>
      <c r="E2193" s="5">
        <v>161198</v>
      </c>
      <c r="F2193" s="5" t="s">
        <v>10</v>
      </c>
      <c r="G2193" s="5" t="s">
        <v>11</v>
      </c>
      <c r="H2193" s="3" t="s">
        <v>81</v>
      </c>
    </row>
    <row r="2194" spans="1:8" ht="13.8" x14ac:dyDescent="0.25">
      <c r="A2194" s="3" t="s">
        <v>2677</v>
      </c>
      <c r="B2194" s="3" t="s">
        <v>2721</v>
      </c>
      <c r="C2194" s="4" t="str">
        <f>HYPERLINK("http://www.rncp.cncp.gouv.fr/grand-public/visualisationFiche?format=fr&amp;fiche=2715","2715")</f>
        <v>2715</v>
      </c>
      <c r="D2194" s="4" t="str">
        <f>HYPERLINK("http://www.intercariforef.org/formations/certification-21126.html","21126")</f>
        <v>21126</v>
      </c>
      <c r="E2194" s="5">
        <v>2034</v>
      </c>
      <c r="F2194" s="5" t="s">
        <v>10</v>
      </c>
      <c r="G2194" s="5" t="s">
        <v>11</v>
      </c>
      <c r="H2194" s="3" t="s">
        <v>81</v>
      </c>
    </row>
    <row r="2195" spans="1:8" ht="13.8" x14ac:dyDescent="0.25">
      <c r="A2195" s="3" t="s">
        <v>2677</v>
      </c>
      <c r="B2195" s="3" t="s">
        <v>2722</v>
      </c>
      <c r="C2195" s="4" t="str">
        <f>HYPERLINK("http://www.rncp.cncp.gouv.fr/grand-public/visualisationFiche?format=fr&amp;fiche=1149","1149")</f>
        <v>1149</v>
      </c>
      <c r="D2195" s="4" t="str">
        <f>HYPERLINK("http://www.intercariforef.org/formations/certification-21129.html","21129")</f>
        <v>21129</v>
      </c>
      <c r="E2195" s="5">
        <v>141084</v>
      </c>
      <c r="F2195" s="5" t="s">
        <v>10</v>
      </c>
      <c r="G2195" s="5" t="s">
        <v>11</v>
      </c>
      <c r="H2195" s="3" t="s">
        <v>81</v>
      </c>
    </row>
    <row r="2196" spans="1:8" ht="13.8" x14ac:dyDescent="0.25">
      <c r="A2196" s="3" t="s">
        <v>2677</v>
      </c>
      <c r="B2196" s="3" t="s">
        <v>2723</v>
      </c>
      <c r="C2196" s="4" t="str">
        <f>HYPERLINK("http://www.rncp.cncp.gouv.fr/grand-public/visualisationFiche?format=fr&amp;fiche=509","509")</f>
        <v>509</v>
      </c>
      <c r="D2196" s="4" t="str">
        <f>HYPERLINK("http://www.intercariforef.org/formations/certification-58457.html","58457")</f>
        <v>58457</v>
      </c>
      <c r="E2196" s="5">
        <v>2035</v>
      </c>
      <c r="F2196" s="5" t="s">
        <v>10</v>
      </c>
      <c r="G2196" s="5" t="s">
        <v>11</v>
      </c>
      <c r="H2196" s="3" t="s">
        <v>81</v>
      </c>
    </row>
    <row r="2197" spans="1:8" ht="13.8" x14ac:dyDescent="0.25">
      <c r="A2197" s="3" t="s">
        <v>2677</v>
      </c>
      <c r="B2197" s="3" t="s">
        <v>2724</v>
      </c>
      <c r="C2197" s="4" t="str">
        <f>HYPERLINK("http://www.rncp.cncp.gouv.fr/grand-public/visualisationFiche?format=fr&amp;fiche=5648","5648")</f>
        <v>5648</v>
      </c>
      <c r="D2197" s="4" t="str">
        <f>HYPERLINK("http://www.intercariforef.org/formations/certification-58445.html","58445")</f>
        <v>58445</v>
      </c>
      <c r="E2197" s="5">
        <v>150724</v>
      </c>
      <c r="F2197" s="5" t="s">
        <v>10</v>
      </c>
      <c r="G2197" s="5" t="s">
        <v>11</v>
      </c>
      <c r="H2197" s="3" t="s">
        <v>81</v>
      </c>
    </row>
    <row r="2198" spans="1:8" ht="13.8" x14ac:dyDescent="0.25">
      <c r="A2198" s="3" t="s">
        <v>2677</v>
      </c>
      <c r="B2198" s="3" t="s">
        <v>2725</v>
      </c>
      <c r="C2198" s="4" t="str">
        <f>HYPERLINK("http://www.rncp.cncp.gouv.fr/grand-public/visualisationFiche?format=fr&amp;fiche=5648","5648")</f>
        <v>5648</v>
      </c>
      <c r="D2198" s="4" t="str">
        <f>HYPERLINK("http://www.intercariforef.org/formations/certification-58446.html","58446")</f>
        <v>58446</v>
      </c>
      <c r="E2198" s="5">
        <v>150725</v>
      </c>
      <c r="F2198" s="5" t="s">
        <v>10</v>
      </c>
      <c r="G2198" s="5" t="s">
        <v>11</v>
      </c>
      <c r="H2198" s="3" t="s">
        <v>81</v>
      </c>
    </row>
    <row r="2199" spans="1:8" ht="13.8" x14ac:dyDescent="0.25">
      <c r="A2199" s="3" t="s">
        <v>2677</v>
      </c>
      <c r="B2199" s="3" t="s">
        <v>2726</v>
      </c>
      <c r="C2199" s="4" t="str">
        <f>HYPERLINK("http://www.rncp.cncp.gouv.fr/grand-public/visualisationFiche?format=fr&amp;fiche=5648","5648")</f>
        <v>5648</v>
      </c>
      <c r="D2199" s="4" t="str">
        <f>HYPERLINK("http://www.intercariforef.org/formations/certification-58447.html","58447")</f>
        <v>58447</v>
      </c>
      <c r="E2199" s="5">
        <v>150726</v>
      </c>
      <c r="F2199" s="5" t="s">
        <v>10</v>
      </c>
      <c r="G2199" s="5" t="s">
        <v>11</v>
      </c>
      <c r="H2199" s="3" t="s">
        <v>81</v>
      </c>
    </row>
    <row r="2200" spans="1:8" ht="13.8" x14ac:dyDescent="0.25">
      <c r="A2200" s="3" t="s">
        <v>2677</v>
      </c>
      <c r="B2200" s="3" t="s">
        <v>2727</v>
      </c>
      <c r="C2200" s="4" t="str">
        <f>HYPERLINK("http://www.rncp.cncp.gouv.fr/grand-public/visualisationFiche?format=fr&amp;fiche=2817","2817")</f>
        <v>2817</v>
      </c>
      <c r="D2200" s="4" t="str">
        <f>HYPERLINK("http://www.intercariforef.org/formations/certification-21169.html","21169")</f>
        <v>21169</v>
      </c>
      <c r="E2200" s="5">
        <v>161200</v>
      </c>
      <c r="F2200" s="5" t="s">
        <v>10</v>
      </c>
      <c r="G2200" s="5" t="s">
        <v>11</v>
      </c>
      <c r="H2200" s="3" t="s">
        <v>81</v>
      </c>
    </row>
    <row r="2201" spans="1:8" ht="13.8" x14ac:dyDescent="0.25">
      <c r="A2201" s="3" t="s">
        <v>2677</v>
      </c>
      <c r="B2201" s="3" t="s">
        <v>2728</v>
      </c>
      <c r="C2201" s="4" t="str">
        <f>HYPERLINK("http://www.rncp.cncp.gouv.fr/grand-public/visualisationFiche?format=fr&amp;fiche=6993","6993")</f>
        <v>6993</v>
      </c>
      <c r="D2201" s="4" t="str">
        <f>HYPERLINK("http://www.intercariforef.org/formations/certification-31999.html","31999")</f>
        <v>31999</v>
      </c>
      <c r="E2201" s="5">
        <v>2036</v>
      </c>
      <c r="F2201" s="5" t="s">
        <v>10</v>
      </c>
      <c r="G2201" s="5" t="s">
        <v>11</v>
      </c>
      <c r="H2201" s="3" t="s">
        <v>81</v>
      </c>
    </row>
    <row r="2202" spans="1:8" ht="13.8" x14ac:dyDescent="0.25">
      <c r="A2202" s="3" t="s">
        <v>2677</v>
      </c>
      <c r="B2202" s="3" t="s">
        <v>2729</v>
      </c>
      <c r="C2202" s="4" t="str">
        <f>HYPERLINK("http://www.rncp.cncp.gouv.fr/grand-public/visualisationFiche?format=fr&amp;fiche=867","867")</f>
        <v>867</v>
      </c>
      <c r="D2202" s="4" t="str">
        <f>HYPERLINK("http://www.intercariforef.org/formations/certification-21178.html","21178")</f>
        <v>21178</v>
      </c>
      <c r="E2202" s="5">
        <v>2037</v>
      </c>
      <c r="F2202" s="5" t="s">
        <v>10</v>
      </c>
      <c r="G2202" s="5" t="s">
        <v>11</v>
      </c>
      <c r="H2202" s="3" t="s">
        <v>81</v>
      </c>
    </row>
    <row r="2203" spans="1:8" ht="13.8" x14ac:dyDescent="0.25">
      <c r="A2203" s="3" t="s">
        <v>2677</v>
      </c>
      <c r="B2203" s="3" t="s">
        <v>2730</v>
      </c>
      <c r="C2203" s="4" t="str">
        <f>HYPERLINK("http://www.rncp.cncp.gouv.fr/grand-public/visualisationFiche?format=fr&amp;fiche=538","538")</f>
        <v>538</v>
      </c>
      <c r="D2203" s="4" t="str">
        <f>HYPERLINK("http://www.intercariforef.org/formations/certification-21211.html","21211")</f>
        <v>21211</v>
      </c>
      <c r="E2203" s="5">
        <v>2038</v>
      </c>
      <c r="F2203" s="5" t="s">
        <v>10</v>
      </c>
      <c r="G2203" s="5" t="s">
        <v>11</v>
      </c>
      <c r="H2203" s="3" t="s">
        <v>81</v>
      </c>
    </row>
    <row r="2204" spans="1:8" ht="13.8" x14ac:dyDescent="0.25">
      <c r="A2204" s="3" t="s">
        <v>2677</v>
      </c>
      <c r="B2204" s="3" t="s">
        <v>2731</v>
      </c>
      <c r="C2204" s="4" t="str">
        <f>HYPERLINK("http://www.rncp.cncp.gouv.fr/grand-public/visualisationFiche?format=fr&amp;fiche=891","891")</f>
        <v>891</v>
      </c>
      <c r="D2204" s="4" t="str">
        <f>HYPERLINK("http://www.intercariforef.org/formations/certification-21225.html","21225")</f>
        <v>21225</v>
      </c>
      <c r="E2204" s="5">
        <v>140151</v>
      </c>
      <c r="F2204" s="5" t="s">
        <v>10</v>
      </c>
      <c r="G2204" s="5" t="s">
        <v>11</v>
      </c>
      <c r="H2204" s="3" t="s">
        <v>81</v>
      </c>
    </row>
    <row r="2205" spans="1:8" ht="13.8" x14ac:dyDescent="0.25">
      <c r="A2205" s="3" t="s">
        <v>2677</v>
      </c>
      <c r="B2205" s="3" t="s">
        <v>2732</v>
      </c>
      <c r="C2205" s="4" t="str">
        <f>HYPERLINK("http://www.rncp.cncp.gouv.fr/grand-public/visualisationFiche?format=fr&amp;fiche=1167","1167")</f>
        <v>1167</v>
      </c>
      <c r="D2205" s="4" t="str">
        <f>HYPERLINK("http://www.intercariforef.org/formations/certification-21237.html","21237")</f>
        <v>21237</v>
      </c>
      <c r="E2205" s="5">
        <v>2060</v>
      </c>
      <c r="F2205" s="5" t="s">
        <v>10</v>
      </c>
      <c r="G2205" s="5" t="s">
        <v>11</v>
      </c>
      <c r="H2205" s="3" t="s">
        <v>81</v>
      </c>
    </row>
    <row r="2206" spans="1:8" ht="13.8" x14ac:dyDescent="0.25">
      <c r="A2206" s="3" t="s">
        <v>2677</v>
      </c>
      <c r="B2206" s="3" t="s">
        <v>2733</v>
      </c>
      <c r="C2206" s="4" t="str">
        <f>HYPERLINK("http://www.rncp.cncp.gouv.fr/grand-public/visualisationFiche?format=fr&amp;fiche=17131","17131")</f>
        <v>17131</v>
      </c>
      <c r="D2206" s="4" t="str">
        <f>HYPERLINK("http://www.intercariforef.org/formations/certification-69656.html","69656")</f>
        <v>69656</v>
      </c>
      <c r="E2206" s="5">
        <v>2047</v>
      </c>
      <c r="F2206" s="5" t="s">
        <v>10</v>
      </c>
      <c r="G2206" s="5" t="s">
        <v>11</v>
      </c>
      <c r="H2206" s="3" t="s">
        <v>81</v>
      </c>
    </row>
    <row r="2207" spans="1:8" ht="13.8" x14ac:dyDescent="0.25">
      <c r="A2207" s="3" t="s">
        <v>2677</v>
      </c>
      <c r="B2207" s="3" t="s">
        <v>2734</v>
      </c>
      <c r="C2207" s="4" t="str">
        <f>HYPERLINK("http://www.rncp.cncp.gouv.fr/grand-public/visualisationFiche?format=fr&amp;fiche=5377","5377")</f>
        <v>5377</v>
      </c>
      <c r="D2207" s="4" t="str">
        <f>HYPERLINK("http://www.intercariforef.org/formations/certification-54647.html","54647")</f>
        <v>54647</v>
      </c>
      <c r="E2207" s="5">
        <v>2033</v>
      </c>
      <c r="F2207" s="5" t="s">
        <v>10</v>
      </c>
      <c r="G2207" s="5" t="s">
        <v>11</v>
      </c>
      <c r="H2207" s="3" t="s">
        <v>81</v>
      </c>
    </row>
    <row r="2208" spans="1:8" ht="13.8" x14ac:dyDescent="0.25">
      <c r="A2208" s="3" t="s">
        <v>2677</v>
      </c>
      <c r="B2208" s="3" t="s">
        <v>2735</v>
      </c>
      <c r="C2208" s="4" t="str">
        <f>HYPERLINK("http://www.rncp.cncp.gouv.fr/grand-public/visualisationFiche?format=fr&amp;fiche=1188","1188")</f>
        <v>1188</v>
      </c>
      <c r="D2208" s="4" t="str">
        <f>HYPERLINK("http://www.intercariforef.org/formations/certification-21306.html","21306")</f>
        <v>21306</v>
      </c>
      <c r="E2208" s="5">
        <v>141085</v>
      </c>
      <c r="F2208" s="5" t="s">
        <v>10</v>
      </c>
      <c r="G2208" s="5" t="s">
        <v>11</v>
      </c>
      <c r="H2208" s="3" t="s">
        <v>81</v>
      </c>
    </row>
    <row r="2209" spans="1:8" ht="13.8" x14ac:dyDescent="0.25">
      <c r="A2209" s="3" t="s">
        <v>2677</v>
      </c>
      <c r="B2209" s="3" t="s">
        <v>2736</v>
      </c>
      <c r="C2209" s="4" t="str">
        <f>HYPERLINK("http://www.rncp.cncp.gouv.fr/grand-public/visualisationFiche?format=fr&amp;fiche=557","557")</f>
        <v>557</v>
      </c>
      <c r="D2209" s="4" t="str">
        <f>HYPERLINK("http://www.intercariforef.org/formations/certification-21309.html","21309")</f>
        <v>21309</v>
      </c>
      <c r="E2209" s="5">
        <v>141086</v>
      </c>
      <c r="F2209" s="5" t="s">
        <v>10</v>
      </c>
      <c r="G2209" s="5" t="s">
        <v>11</v>
      </c>
      <c r="H2209" s="3" t="s">
        <v>81</v>
      </c>
    </row>
    <row r="2210" spans="1:8" ht="13.8" x14ac:dyDescent="0.25">
      <c r="A2210" s="3" t="s">
        <v>2677</v>
      </c>
      <c r="B2210" s="3" t="s">
        <v>2737</v>
      </c>
      <c r="C2210" s="4" t="str">
        <f>HYPERLINK("http://www.rncp.cncp.gouv.fr/grand-public/visualisationFiche?format=fr&amp;fiche=560","560")</f>
        <v>560</v>
      </c>
      <c r="D2210" s="4" t="str">
        <f>HYPERLINK("http://www.intercariforef.org/formations/certification-21316.html","21316")</f>
        <v>21316</v>
      </c>
      <c r="E2210" s="5">
        <v>19225</v>
      </c>
      <c r="F2210" s="5" t="s">
        <v>10</v>
      </c>
      <c r="G2210" s="5" t="s">
        <v>11</v>
      </c>
      <c r="H2210" s="3" t="s">
        <v>81</v>
      </c>
    </row>
    <row r="2211" spans="1:8" ht="13.8" x14ac:dyDescent="0.25">
      <c r="A2211" s="3" t="s">
        <v>2677</v>
      </c>
      <c r="B2211" s="3" t="s">
        <v>2738</v>
      </c>
      <c r="C2211" s="4" t="str">
        <f>HYPERLINK("http://www.rncp.cncp.gouv.fr/grand-public/visualisationFiche?format=fr&amp;fiche=567","567")</f>
        <v>567</v>
      </c>
      <c r="D2211" s="4" t="str">
        <f>HYPERLINK("http://www.intercariforef.org/formations/certification-21355.html","21355")</f>
        <v>21355</v>
      </c>
      <c r="E2211" s="5">
        <v>2039</v>
      </c>
      <c r="F2211" s="5" t="s">
        <v>10</v>
      </c>
      <c r="G2211" s="5" t="s">
        <v>11</v>
      </c>
      <c r="H2211" s="3" t="s">
        <v>81</v>
      </c>
    </row>
    <row r="2212" spans="1:8" ht="13.8" x14ac:dyDescent="0.25">
      <c r="A2212" s="3" t="s">
        <v>2677</v>
      </c>
      <c r="B2212" s="3" t="s">
        <v>2739</v>
      </c>
      <c r="C2212" s="4" t="str">
        <f>HYPERLINK("http://www.rncp.cncp.gouv.fr/grand-public/visualisationFiche?format=fr&amp;fiche=684","684")</f>
        <v>684</v>
      </c>
      <c r="D2212" s="4" t="str">
        <f>HYPERLINK("http://www.intercariforef.org/formations/certification-21358.html","21358")</f>
        <v>21358</v>
      </c>
      <c r="E2212" s="5">
        <v>2040</v>
      </c>
      <c r="F2212" s="5" t="s">
        <v>10</v>
      </c>
      <c r="G2212" s="5" t="s">
        <v>11</v>
      </c>
      <c r="H2212" s="3" t="s">
        <v>81</v>
      </c>
    </row>
    <row r="2213" spans="1:8" ht="13.8" x14ac:dyDescent="0.25">
      <c r="A2213" s="3" t="s">
        <v>2677</v>
      </c>
      <c r="B2213" s="3" t="s">
        <v>2740</v>
      </c>
      <c r="C2213" s="4" t="str">
        <f>HYPERLINK("http://www.rncp.cncp.gouv.fr/grand-public/visualisationFiche?format=fr&amp;fiche=541","541")</f>
        <v>541</v>
      </c>
      <c r="D2213" s="4" t="str">
        <f>HYPERLINK("http://www.intercariforef.org/formations/certification-21364.html","21364")</f>
        <v>21364</v>
      </c>
      <c r="E2213" s="5">
        <v>2041</v>
      </c>
      <c r="F2213" s="5" t="s">
        <v>10</v>
      </c>
      <c r="G2213" s="5" t="s">
        <v>11</v>
      </c>
      <c r="H2213" s="3" t="s">
        <v>81</v>
      </c>
    </row>
    <row r="2214" spans="1:8" ht="13.8" x14ac:dyDescent="0.25">
      <c r="A2214" s="3" t="s">
        <v>2677</v>
      </c>
      <c r="B2214" s="3" t="s">
        <v>2741</v>
      </c>
      <c r="C2214" s="4" t="str">
        <f>HYPERLINK("http://www.rncp.cncp.gouv.fr/grand-public/visualisationFiche?format=fr&amp;fiche=1179","1179")</f>
        <v>1179</v>
      </c>
      <c r="D2214" s="4" t="str">
        <f>HYPERLINK("http://www.intercariforef.org/formations/certification-21365.html","21365")</f>
        <v>21365</v>
      </c>
      <c r="E2214" s="5">
        <v>2042</v>
      </c>
      <c r="F2214" s="5" t="s">
        <v>10</v>
      </c>
      <c r="G2214" s="5" t="s">
        <v>11</v>
      </c>
      <c r="H2214" s="3" t="s">
        <v>81</v>
      </c>
    </row>
    <row r="2215" spans="1:8" ht="13.8" x14ac:dyDescent="0.25">
      <c r="A2215" s="3" t="s">
        <v>2677</v>
      </c>
      <c r="B2215" s="3" t="s">
        <v>2742</v>
      </c>
      <c r="C2215" s="4" t="str">
        <f>HYPERLINK("http://www.rncp.cncp.gouv.fr/grand-public/visualisationFiche?format=fr&amp;fiche=834","834")</f>
        <v>834</v>
      </c>
      <c r="D2215" s="4" t="str">
        <f>HYPERLINK("http://www.intercariforef.org/formations/certification-21366.html","21366")</f>
        <v>21366</v>
      </c>
      <c r="E2215" s="5">
        <v>2043</v>
      </c>
      <c r="F2215" s="5" t="s">
        <v>10</v>
      </c>
      <c r="G2215" s="5" t="s">
        <v>11</v>
      </c>
      <c r="H2215" s="3" t="s">
        <v>81</v>
      </c>
    </row>
    <row r="2216" spans="1:8" ht="13.8" x14ac:dyDescent="0.25">
      <c r="A2216" s="3" t="s">
        <v>2677</v>
      </c>
      <c r="B2216" s="3" t="s">
        <v>2743</v>
      </c>
      <c r="C2216" s="4" t="str">
        <f>HYPERLINK("http://www.rncp.cncp.gouv.fr/grand-public/visualisationFiche?format=fr&amp;fiche=4636","4636")</f>
        <v>4636</v>
      </c>
      <c r="D2216" s="4" t="str">
        <f>HYPERLINK("http://www.intercariforef.org/formations/certification-52860.html","52860")</f>
        <v>52860</v>
      </c>
      <c r="E2216" s="5">
        <v>2044</v>
      </c>
      <c r="F2216" s="5" t="s">
        <v>10</v>
      </c>
      <c r="G2216" s="5" t="s">
        <v>11</v>
      </c>
      <c r="H2216" s="3" t="s">
        <v>81</v>
      </c>
    </row>
    <row r="2217" spans="1:8" ht="13.8" x14ac:dyDescent="0.25">
      <c r="A2217" s="3" t="s">
        <v>2677</v>
      </c>
      <c r="B2217" s="3" t="s">
        <v>2744</v>
      </c>
      <c r="C2217" s="4" t="str">
        <f>HYPERLINK("http://www.rncp.cncp.gouv.fr/grand-public/visualisationFiche?format=fr&amp;fiche=585","585")</f>
        <v>585</v>
      </c>
      <c r="D2217" s="4" t="str">
        <f>HYPERLINK("http://www.intercariforef.org/formations/certification-21420.html","21420")</f>
        <v>21420</v>
      </c>
      <c r="E2217" s="5">
        <v>141088</v>
      </c>
      <c r="F2217" s="5" t="s">
        <v>10</v>
      </c>
      <c r="G2217" s="5" t="s">
        <v>11</v>
      </c>
      <c r="H2217" s="3" t="s">
        <v>81</v>
      </c>
    </row>
    <row r="2218" spans="1:8" ht="13.8" x14ac:dyDescent="0.25">
      <c r="A2218" s="3" t="s">
        <v>2677</v>
      </c>
      <c r="B2218" s="3" t="s">
        <v>2745</v>
      </c>
      <c r="C2218" s="4" t="str">
        <f>HYPERLINK("http://www.rncp.cncp.gouv.fr/grand-public/visualisationFiche?format=fr&amp;fiche=586","586")</f>
        <v>586</v>
      </c>
      <c r="D2218" s="4" t="str">
        <f>HYPERLINK("http://www.intercariforef.org/formations/certification-66237.html","66237")</f>
        <v>66237</v>
      </c>
      <c r="E2218" s="5">
        <v>161204</v>
      </c>
      <c r="F2218" s="5" t="s">
        <v>10</v>
      </c>
      <c r="G2218" s="5" t="s">
        <v>11</v>
      </c>
      <c r="H2218" s="3" t="s">
        <v>81</v>
      </c>
    </row>
    <row r="2219" spans="1:8" ht="13.8" x14ac:dyDescent="0.25">
      <c r="A2219" s="3" t="s">
        <v>2677</v>
      </c>
      <c r="B2219" s="3" t="s">
        <v>2746</v>
      </c>
      <c r="C2219" s="4" t="str">
        <f>HYPERLINK("http://www.rncp.cncp.gouv.fr/grand-public/visualisationFiche?format=fr&amp;fiche=5365","5365")</f>
        <v>5365</v>
      </c>
      <c r="D2219" s="4" t="str">
        <f>HYPERLINK("http://www.intercariforef.org/formations/certification-54648.html","54648")</f>
        <v>54648</v>
      </c>
      <c r="E2219" s="5">
        <v>2045</v>
      </c>
      <c r="F2219" s="5" t="s">
        <v>10</v>
      </c>
      <c r="G2219" s="5" t="s">
        <v>11</v>
      </c>
      <c r="H2219" s="3" t="s">
        <v>81</v>
      </c>
    </row>
    <row r="2220" spans="1:8" ht="13.8" x14ac:dyDescent="0.25">
      <c r="A2220" s="3" t="s">
        <v>2677</v>
      </c>
      <c r="B2220" s="3" t="s">
        <v>2747</v>
      </c>
      <c r="C2220" s="4" t="str">
        <f>HYPERLINK("http://www.rncp.cncp.gouv.fr/grand-public/visualisationFiche?format=fr&amp;fiche=601","601")</f>
        <v>601</v>
      </c>
      <c r="D2220" s="4" t="str">
        <f>HYPERLINK("http://www.intercariforef.org/formations/certification-21469.html","21469")</f>
        <v>21469</v>
      </c>
      <c r="E2220" s="5">
        <v>161205</v>
      </c>
      <c r="F2220" s="5" t="s">
        <v>10</v>
      </c>
      <c r="G2220" s="5" t="s">
        <v>11</v>
      </c>
      <c r="H2220" s="3" t="s">
        <v>81</v>
      </c>
    </row>
    <row r="2221" spans="1:8" ht="13.8" x14ac:dyDescent="0.25">
      <c r="A2221" s="3" t="s">
        <v>2677</v>
      </c>
      <c r="B2221" s="3" t="s">
        <v>2748</v>
      </c>
      <c r="C2221" s="4" t="str">
        <f>HYPERLINK("http://www.rncp.cncp.gouv.fr/grand-public/visualisationFiche?format=fr&amp;fiche=2437","2437")</f>
        <v>2437</v>
      </c>
      <c r="D2221" s="4" t="str">
        <f>HYPERLINK("http://www.intercariforef.org/formations/certification-21484.html","21484")</f>
        <v>21484</v>
      </c>
      <c r="E2221" s="5">
        <v>133963</v>
      </c>
      <c r="F2221" s="5" t="s">
        <v>10</v>
      </c>
      <c r="G2221" s="5" t="s">
        <v>11</v>
      </c>
      <c r="H2221" s="3" t="s">
        <v>81</v>
      </c>
    </row>
    <row r="2222" spans="1:8" ht="27.6" x14ac:dyDescent="0.25">
      <c r="A2222" s="3" t="s">
        <v>2677</v>
      </c>
      <c r="B2222" s="3" t="s">
        <v>2749</v>
      </c>
      <c r="C2222" s="4" t="str">
        <f>HYPERLINK("http://www.rncp.cncp.gouv.fr/grand-public/visualisationFiche?format=fr&amp;fiche=2439","2439")</f>
        <v>2439</v>
      </c>
      <c r="D2222" s="4" t="str">
        <f>HYPERLINK("http://www.intercariforef.org/formations/certification-21485.html","21485")</f>
        <v>21485</v>
      </c>
      <c r="E2222" s="5">
        <v>133964</v>
      </c>
      <c r="F2222" s="5" t="s">
        <v>10</v>
      </c>
      <c r="G2222" s="5" t="s">
        <v>11</v>
      </c>
      <c r="H2222" s="3" t="s">
        <v>81</v>
      </c>
    </row>
    <row r="2223" spans="1:8" ht="13.8" x14ac:dyDescent="0.25">
      <c r="A2223" s="3" t="s">
        <v>2677</v>
      </c>
      <c r="B2223" s="3" t="s">
        <v>2750</v>
      </c>
      <c r="C2223" s="4" t="str">
        <f>HYPERLINK("http://www.rncp.cncp.gouv.fr/grand-public/visualisationFiche?format=fr&amp;fiche=2438","2438")</f>
        <v>2438</v>
      </c>
      <c r="D2223" s="4" t="str">
        <f>HYPERLINK("http://www.intercariforef.org/formations/certification-21486.html","21486")</f>
        <v>21486</v>
      </c>
      <c r="E2223" s="5">
        <v>133965</v>
      </c>
      <c r="F2223" s="5" t="s">
        <v>10</v>
      </c>
      <c r="G2223" s="5" t="s">
        <v>11</v>
      </c>
      <c r="H2223" s="3" t="s">
        <v>81</v>
      </c>
    </row>
    <row r="2224" spans="1:8" ht="13.8" x14ac:dyDescent="0.25">
      <c r="A2224" s="3" t="s">
        <v>2677</v>
      </c>
      <c r="B2224" s="3" t="s">
        <v>2751</v>
      </c>
      <c r="C2224" s="4" t="str">
        <f>HYPERLINK("http://www.rncp.cncp.gouv.fr/grand-public/visualisationFiche?format=fr&amp;fiche=2441","2441")</f>
        <v>2441</v>
      </c>
      <c r="D2224" s="4" t="str">
        <f>HYPERLINK("http://www.intercariforef.org/formations/certification-21471.html","21471")</f>
        <v>21471</v>
      </c>
      <c r="E2224" s="5">
        <v>154431</v>
      </c>
      <c r="F2224" s="5" t="s">
        <v>10</v>
      </c>
      <c r="G2224" s="5" t="s">
        <v>11</v>
      </c>
      <c r="H2224" s="3" t="s">
        <v>81</v>
      </c>
    </row>
    <row r="2225" spans="1:8" ht="13.8" x14ac:dyDescent="0.25">
      <c r="A2225" s="3" t="s">
        <v>2677</v>
      </c>
      <c r="B2225" s="3" t="s">
        <v>2752</v>
      </c>
      <c r="C2225" s="4" t="str">
        <f>HYPERLINK("http://www.rncp.cncp.gouv.fr/grand-public/visualisationFiche?format=fr&amp;fiche=602","602")</f>
        <v>602</v>
      </c>
      <c r="D2225" s="4" t="str">
        <f>HYPERLINK("http://www.intercariforef.org/formations/certification-64633.html","64633")</f>
        <v>64633</v>
      </c>
      <c r="E2225" s="5">
        <v>161213</v>
      </c>
      <c r="F2225" s="5" t="s">
        <v>10</v>
      </c>
      <c r="G2225" s="5" t="s">
        <v>11</v>
      </c>
      <c r="H2225" s="3" t="s">
        <v>81</v>
      </c>
    </row>
    <row r="2226" spans="1:8" ht="13.8" x14ac:dyDescent="0.25">
      <c r="A2226" s="3" t="s">
        <v>2677</v>
      </c>
      <c r="B2226" s="3" t="s">
        <v>2753</v>
      </c>
      <c r="C2226" s="4" t="str">
        <f>HYPERLINK("http://www.rncp.cncp.gouv.fr/grand-public/visualisationFiche?format=fr&amp;fiche=603","603")</f>
        <v>603</v>
      </c>
      <c r="D2226" s="4" t="str">
        <f>HYPERLINK("http://www.intercariforef.org/formations/certification-21478.html","21478")</f>
        <v>21478</v>
      </c>
      <c r="E2226" s="5">
        <v>2048</v>
      </c>
      <c r="F2226" s="5" t="s">
        <v>10</v>
      </c>
      <c r="G2226" s="5" t="s">
        <v>11</v>
      </c>
      <c r="H2226" s="3" t="s">
        <v>81</v>
      </c>
    </row>
    <row r="2227" spans="1:8" ht="27.6" x14ac:dyDescent="0.25">
      <c r="A2227" s="3" t="s">
        <v>2677</v>
      </c>
      <c r="B2227" s="3" t="s">
        <v>2754</v>
      </c>
      <c r="C2227" s="4" t="str">
        <f>HYPERLINK("http://www.rncp.cncp.gouv.fr/grand-public/visualisationFiche?format=fr&amp;fiche=2837","2837")</f>
        <v>2837</v>
      </c>
      <c r="D2227" s="4" t="str">
        <f>HYPERLINK("http://www.intercariforef.org/formations/certification-21480.html","21480")</f>
        <v>21480</v>
      </c>
      <c r="E2227" s="5">
        <v>2049</v>
      </c>
      <c r="F2227" s="5" t="s">
        <v>10</v>
      </c>
      <c r="G2227" s="5" t="s">
        <v>11</v>
      </c>
      <c r="H2227" s="3" t="s">
        <v>2357</v>
      </c>
    </row>
    <row r="2228" spans="1:8" ht="13.8" x14ac:dyDescent="0.25">
      <c r="A2228" s="3" t="s">
        <v>2677</v>
      </c>
      <c r="B2228" s="3" t="s">
        <v>2755</v>
      </c>
      <c r="C2228" s="4" t="str">
        <f>HYPERLINK("http://www.rncp.cncp.gouv.fr/grand-public/visualisationFiche?format=fr&amp;fiche=628","628")</f>
        <v>628</v>
      </c>
      <c r="D2228" s="4" t="str">
        <f>HYPERLINK("http://www.intercariforef.org/formations/certification-21553.html","21553")</f>
        <v>21553</v>
      </c>
      <c r="E2228" s="5">
        <v>130754</v>
      </c>
      <c r="F2228" s="5" t="s">
        <v>10</v>
      </c>
      <c r="G2228" s="5" t="s">
        <v>11</v>
      </c>
      <c r="H2228" s="3" t="s">
        <v>81</v>
      </c>
    </row>
    <row r="2229" spans="1:8" ht="13.8" x14ac:dyDescent="0.25">
      <c r="A2229" s="3" t="s">
        <v>2677</v>
      </c>
      <c r="B2229" s="3" t="s">
        <v>2756</v>
      </c>
      <c r="C2229" s="4" t="str">
        <f>HYPERLINK("http://www.rncp.cncp.gouv.fr/grand-public/visualisationFiche?format=fr&amp;fiche=1170","1170")</f>
        <v>1170</v>
      </c>
      <c r="D2229" s="4" t="str">
        <f>HYPERLINK("http://www.intercariforef.org/formations/certification-21582.html","21582")</f>
        <v>21582</v>
      </c>
      <c r="E2229" s="5">
        <v>130753</v>
      </c>
      <c r="F2229" s="5" t="s">
        <v>10</v>
      </c>
      <c r="G2229" s="5" t="s">
        <v>11</v>
      </c>
      <c r="H2229" s="3" t="s">
        <v>81</v>
      </c>
    </row>
    <row r="2230" spans="1:8" ht="13.8" x14ac:dyDescent="0.25">
      <c r="A2230" s="3" t="s">
        <v>2677</v>
      </c>
      <c r="B2230" s="3" t="s">
        <v>2757</v>
      </c>
      <c r="C2230" s="4" t="str">
        <f>HYPERLINK("http://www.rncp.cncp.gouv.fr/grand-public/visualisationFiche?format=fr&amp;fiche=640","640")</f>
        <v>640</v>
      </c>
      <c r="D2230" s="4" t="str">
        <f>HYPERLINK("http://www.intercariforef.org/formations/certification-21586.html","21586")</f>
        <v>21586</v>
      </c>
      <c r="E2230" s="5">
        <v>154433</v>
      </c>
      <c r="F2230" s="5" t="s">
        <v>10</v>
      </c>
      <c r="G2230" s="5" t="s">
        <v>11</v>
      </c>
      <c r="H2230" s="3" t="s">
        <v>81</v>
      </c>
    </row>
    <row r="2231" spans="1:8" ht="13.8" x14ac:dyDescent="0.25">
      <c r="A2231" s="3" t="s">
        <v>2677</v>
      </c>
      <c r="B2231" s="3" t="s">
        <v>2758</v>
      </c>
      <c r="C2231" s="4" t="str">
        <f>HYPERLINK("http://www.rncp.cncp.gouv.fr/grand-public/visualisationFiche?format=fr&amp;fiche=642","642")</f>
        <v>642</v>
      </c>
      <c r="D2231" s="4" t="str">
        <f>HYPERLINK("http://www.intercariforef.org/formations/certification-21587.html","21587")</f>
        <v>21587</v>
      </c>
      <c r="E2231" s="5">
        <v>154434</v>
      </c>
      <c r="F2231" s="5" t="s">
        <v>10</v>
      </c>
      <c r="G2231" s="5" t="s">
        <v>11</v>
      </c>
      <c r="H2231" s="3" t="s">
        <v>81</v>
      </c>
    </row>
    <row r="2232" spans="1:8" ht="13.8" x14ac:dyDescent="0.25">
      <c r="A2232" s="3" t="s">
        <v>2677</v>
      </c>
      <c r="B2232" s="3" t="s">
        <v>2759</v>
      </c>
      <c r="C2232" s="4" t="str">
        <f>HYPERLINK("http://www.rncp.cncp.gouv.fr/grand-public/visualisationFiche?format=fr&amp;fiche=641","641")</f>
        <v>641</v>
      </c>
      <c r="D2232" s="4" t="str">
        <f>HYPERLINK("http://www.intercariforef.org/formations/certification-21588.html","21588")</f>
        <v>21588</v>
      </c>
      <c r="E2232" s="5">
        <v>154435</v>
      </c>
      <c r="F2232" s="5" t="s">
        <v>10</v>
      </c>
      <c r="G2232" s="5" t="s">
        <v>11</v>
      </c>
      <c r="H2232" s="3" t="s">
        <v>81</v>
      </c>
    </row>
    <row r="2233" spans="1:8" ht="13.8" x14ac:dyDescent="0.25">
      <c r="A2233" s="3" t="s">
        <v>2677</v>
      </c>
      <c r="B2233" s="3" t="s">
        <v>2760</v>
      </c>
      <c r="C2233" s="4" t="str">
        <f>HYPERLINK("http://www.rncp.cncp.gouv.fr/grand-public/visualisationFiche?format=fr&amp;fiche=643","643")</f>
        <v>643</v>
      </c>
      <c r="D2233" s="4" t="str">
        <f>HYPERLINK("http://www.intercariforef.org/formations/certification-21589.html","21589")</f>
        <v>21589</v>
      </c>
      <c r="E2233" s="5">
        <v>154432</v>
      </c>
      <c r="F2233" s="5" t="s">
        <v>10</v>
      </c>
      <c r="G2233" s="5" t="s">
        <v>11</v>
      </c>
      <c r="H2233" s="3" t="s">
        <v>81</v>
      </c>
    </row>
    <row r="2234" spans="1:8" ht="13.8" x14ac:dyDescent="0.25">
      <c r="A2234" s="3" t="s">
        <v>2677</v>
      </c>
      <c r="B2234" s="3" t="s">
        <v>2761</v>
      </c>
      <c r="C2234" s="4" t="str">
        <f>HYPERLINK("http://www.rncp.cncp.gouv.fr/grand-public/visualisationFiche?format=fr&amp;fiche=645","645")</f>
        <v>645</v>
      </c>
      <c r="D2234" s="4" t="str">
        <f>HYPERLINK("http://www.intercariforef.org/formations/certification-21591.html","21591")</f>
        <v>21591</v>
      </c>
      <c r="E2234" s="5">
        <v>141090</v>
      </c>
      <c r="F2234" s="5" t="s">
        <v>10</v>
      </c>
      <c r="G2234" s="5" t="s">
        <v>11</v>
      </c>
      <c r="H2234" s="3" t="s">
        <v>81</v>
      </c>
    </row>
    <row r="2235" spans="1:8" ht="13.8" x14ac:dyDescent="0.25">
      <c r="A2235" s="3" t="s">
        <v>2677</v>
      </c>
      <c r="B2235" s="3" t="s">
        <v>2762</v>
      </c>
      <c r="C2235" s="4" t="str">
        <f>HYPERLINK("http://www.rncp.cncp.gouv.fr/grand-public/visualisationFiche?format=fr&amp;fiche=5226","5226")</f>
        <v>5226</v>
      </c>
      <c r="D2235" s="4" t="str">
        <f>HYPERLINK("http://www.intercariforef.org/formations/certification-53384.html","53384")</f>
        <v>53384</v>
      </c>
      <c r="E2235" s="5">
        <v>2050</v>
      </c>
      <c r="F2235" s="5" t="s">
        <v>10</v>
      </c>
      <c r="G2235" s="5" t="s">
        <v>11</v>
      </c>
      <c r="H2235" s="3" t="s">
        <v>81</v>
      </c>
    </row>
    <row r="2236" spans="1:8" ht="13.8" x14ac:dyDescent="0.25">
      <c r="A2236" s="3" t="s">
        <v>2677</v>
      </c>
      <c r="B2236" s="3" t="s">
        <v>2763</v>
      </c>
      <c r="C2236" s="4" t="str">
        <f>HYPERLINK("http://www.rncp.cncp.gouv.fr/grand-public/visualisationFiche?format=fr&amp;fiche=736","736")</f>
        <v>736</v>
      </c>
      <c r="D2236" s="4" t="str">
        <f>HYPERLINK("http://www.intercariforef.org/formations/certification-21621.html","21621")</f>
        <v>21621</v>
      </c>
      <c r="E2236" s="5">
        <v>130755</v>
      </c>
      <c r="F2236" s="5" t="s">
        <v>10</v>
      </c>
      <c r="G2236" s="5" t="s">
        <v>11</v>
      </c>
      <c r="H2236" s="3" t="s">
        <v>81</v>
      </c>
    </row>
    <row r="2237" spans="1:8" ht="13.8" x14ac:dyDescent="0.25">
      <c r="A2237" s="3" t="s">
        <v>2677</v>
      </c>
      <c r="B2237" s="3" t="s">
        <v>2764</v>
      </c>
      <c r="C2237" s="4" t="str">
        <f>HYPERLINK("http://www.rncp.cncp.gouv.fr/grand-public/visualisationFiche?format=fr&amp;fiche=5227","5227")</f>
        <v>5227</v>
      </c>
      <c r="D2237" s="4" t="str">
        <f>HYPERLINK("http://www.intercariforef.org/formations/certification-53385.html","53385")</f>
        <v>53385</v>
      </c>
      <c r="E2237" s="5">
        <v>2051</v>
      </c>
      <c r="F2237" s="5" t="s">
        <v>10</v>
      </c>
      <c r="G2237" s="5" t="s">
        <v>11</v>
      </c>
      <c r="H2237" s="3" t="s">
        <v>81</v>
      </c>
    </row>
    <row r="2238" spans="1:8" ht="13.8" x14ac:dyDescent="0.25">
      <c r="A2238" s="3" t="s">
        <v>2677</v>
      </c>
      <c r="B2238" s="3" t="s">
        <v>2765</v>
      </c>
      <c r="C2238" s="4" t="str">
        <f>HYPERLINK("http://www.rncp.cncp.gouv.fr/grand-public/visualisationFiche?format=fr&amp;fiche=1190","1190")</f>
        <v>1190</v>
      </c>
      <c r="D2238" s="4" t="str">
        <f>HYPERLINK("http://www.intercariforef.org/formations/certification-53208.html","53208")</f>
        <v>53208</v>
      </c>
      <c r="E2238" s="5">
        <v>141091</v>
      </c>
      <c r="F2238" s="5" t="s">
        <v>10</v>
      </c>
      <c r="G2238" s="5" t="s">
        <v>11</v>
      </c>
      <c r="H2238" s="3" t="s">
        <v>81</v>
      </c>
    </row>
    <row r="2239" spans="1:8" ht="13.8" x14ac:dyDescent="0.25">
      <c r="A2239" s="3" t="s">
        <v>2677</v>
      </c>
      <c r="B2239" s="3" t="s">
        <v>2766</v>
      </c>
      <c r="C2239" s="4" t="str">
        <f>HYPERLINK("http://www.rncp.cncp.gouv.fr/grand-public/visualisationFiche?format=fr&amp;fiche=849","849")</f>
        <v>849</v>
      </c>
      <c r="D2239" s="4" t="str">
        <f>HYPERLINK("http://www.intercariforef.org/formations/certification-21684.html","21684")</f>
        <v>21684</v>
      </c>
      <c r="E2239" s="5">
        <v>141092</v>
      </c>
      <c r="F2239" s="5" t="s">
        <v>10</v>
      </c>
      <c r="G2239" s="5" t="s">
        <v>11</v>
      </c>
      <c r="H2239" s="3" t="s">
        <v>81</v>
      </c>
    </row>
    <row r="2240" spans="1:8" ht="13.8" x14ac:dyDescent="0.25">
      <c r="A2240" s="3" t="s">
        <v>2677</v>
      </c>
      <c r="B2240" s="3" t="s">
        <v>2767</v>
      </c>
      <c r="C2240" s="4" t="str">
        <f>HYPERLINK("http://www.rncp.cncp.gouv.fr/grand-public/visualisationFiche?format=fr&amp;fiche=1189","1189")</f>
        <v>1189</v>
      </c>
      <c r="D2240" s="4" t="str">
        <f>HYPERLINK("http://www.intercariforef.org/formations/certification-21685.html","21685")</f>
        <v>21685</v>
      </c>
      <c r="E2240" s="5">
        <v>141093</v>
      </c>
      <c r="F2240" s="5" t="s">
        <v>10</v>
      </c>
      <c r="G2240" s="5" t="s">
        <v>11</v>
      </c>
      <c r="H2240" s="3" t="s">
        <v>81</v>
      </c>
    </row>
    <row r="2241" spans="1:8" ht="13.8" x14ac:dyDescent="0.25">
      <c r="A2241" s="3" t="s">
        <v>2677</v>
      </c>
      <c r="B2241" s="3" t="s">
        <v>2768</v>
      </c>
      <c r="C2241" s="4" t="str">
        <f>HYPERLINK("http://www.rncp.cncp.gouv.fr/grand-public/visualisationFiche?format=fr&amp;fiche=673","673")</f>
        <v>673</v>
      </c>
      <c r="D2241" s="4" t="str">
        <f>HYPERLINK("http://www.intercariforef.org/formations/certification-21716.html","21716")</f>
        <v>21716</v>
      </c>
      <c r="E2241" s="5">
        <v>141094</v>
      </c>
      <c r="F2241" s="5" t="s">
        <v>10</v>
      </c>
      <c r="G2241" s="5" t="s">
        <v>11</v>
      </c>
      <c r="H2241" s="3" t="s">
        <v>81</v>
      </c>
    </row>
    <row r="2242" spans="1:8" ht="13.8" x14ac:dyDescent="0.25">
      <c r="A2242" s="3" t="s">
        <v>2677</v>
      </c>
      <c r="B2242" s="3" t="s">
        <v>2769</v>
      </c>
      <c r="C2242" s="5"/>
      <c r="D2242" s="4" t="str">
        <f>HYPERLINK("http://www.intercariforef.org/formations/certification-75962.html","75962")</f>
        <v>75962</v>
      </c>
      <c r="E2242" s="5">
        <v>141095</v>
      </c>
      <c r="F2242" s="5" t="s">
        <v>10</v>
      </c>
      <c r="G2242" s="5" t="s">
        <v>11</v>
      </c>
      <c r="H2242" s="3" t="s">
        <v>2026</v>
      </c>
    </row>
    <row r="2243" spans="1:8" ht="13.8" x14ac:dyDescent="0.25">
      <c r="A2243" s="3" t="s">
        <v>2677</v>
      </c>
      <c r="B2243" s="3" t="s">
        <v>2770</v>
      </c>
      <c r="C2243" s="4" t="str">
        <f>HYPERLINK("http://www.rncp.cncp.gouv.fr/grand-public/visualisationFiche?format=fr&amp;fiche=2755","2755")</f>
        <v>2755</v>
      </c>
      <c r="D2243" s="4" t="str">
        <f>HYPERLINK("http://www.intercariforef.org/formations/certification-22050.html","22050")</f>
        <v>22050</v>
      </c>
      <c r="E2243" s="5">
        <v>141096</v>
      </c>
      <c r="F2243" s="5" t="s">
        <v>10</v>
      </c>
      <c r="G2243" s="5" t="s">
        <v>11</v>
      </c>
      <c r="H2243" s="3" t="s">
        <v>2026</v>
      </c>
    </row>
    <row r="2244" spans="1:8" ht="13.8" x14ac:dyDescent="0.25">
      <c r="A2244" s="3" t="s">
        <v>2677</v>
      </c>
      <c r="B2244" s="3" t="s">
        <v>2771</v>
      </c>
      <c r="C2244" s="4" t="str">
        <f>HYPERLINK("http://www.rncp.cncp.gouv.fr/grand-public/visualisationFiche?format=fr&amp;fiche=2343","2343")</f>
        <v>2343</v>
      </c>
      <c r="D2244" s="4" t="str">
        <f>HYPERLINK("http://www.intercariforef.org/formations/certification-22065.html","22065")</f>
        <v>22065</v>
      </c>
      <c r="E2244" s="5">
        <v>2052</v>
      </c>
      <c r="F2244" s="5" t="s">
        <v>10</v>
      </c>
      <c r="G2244" s="5" t="s">
        <v>11</v>
      </c>
      <c r="H2244" s="3" t="s">
        <v>2026</v>
      </c>
    </row>
    <row r="2245" spans="1:8" ht="13.8" x14ac:dyDescent="0.25">
      <c r="A2245" s="3" t="s">
        <v>2677</v>
      </c>
      <c r="B2245" s="3" t="s">
        <v>2772</v>
      </c>
      <c r="C2245" s="4" t="str">
        <f>HYPERLINK("http://www.rncp.cncp.gouv.fr/grand-public/visualisationFiche?format=fr&amp;fiche=2342","2342")</f>
        <v>2342</v>
      </c>
      <c r="D2245" s="4" t="str">
        <f>HYPERLINK("http://www.intercariforef.org/formations/certification-22066.html","22066")</f>
        <v>22066</v>
      </c>
      <c r="E2245" s="5">
        <v>2053</v>
      </c>
      <c r="F2245" s="5" t="s">
        <v>10</v>
      </c>
      <c r="G2245" s="5" t="s">
        <v>11</v>
      </c>
      <c r="H2245" s="3" t="s">
        <v>2026</v>
      </c>
    </row>
    <row r="2246" spans="1:8" ht="13.8" x14ac:dyDescent="0.25">
      <c r="A2246" s="3" t="s">
        <v>2677</v>
      </c>
      <c r="B2246" s="3" t="s">
        <v>2773</v>
      </c>
      <c r="C2246" s="4" t="str">
        <f>HYPERLINK("http://www.rncp.cncp.gouv.fr/grand-public/visualisationFiche?format=fr&amp;fiche=2346","2346")</f>
        <v>2346</v>
      </c>
      <c r="D2246" s="4" t="str">
        <f>HYPERLINK("http://www.intercariforef.org/formations/certification-22067.html","22067")</f>
        <v>22067</v>
      </c>
      <c r="E2246" s="5">
        <v>141098</v>
      </c>
      <c r="F2246" s="5" t="s">
        <v>10</v>
      </c>
      <c r="G2246" s="5" t="s">
        <v>11</v>
      </c>
      <c r="H2246" s="3" t="s">
        <v>2026</v>
      </c>
    </row>
    <row r="2247" spans="1:8" ht="13.8" x14ac:dyDescent="0.25">
      <c r="A2247" s="3" t="s">
        <v>2677</v>
      </c>
      <c r="B2247" s="3" t="s">
        <v>2774</v>
      </c>
      <c r="C2247" s="4" t="str">
        <f>HYPERLINK("http://www.rncp.cncp.gouv.fr/grand-public/visualisationFiche?format=fr&amp;fiche=2345","2345")</f>
        <v>2345</v>
      </c>
      <c r="D2247" s="4" t="str">
        <f>HYPERLINK("http://www.intercariforef.org/formations/certification-22068.html","22068")</f>
        <v>22068</v>
      </c>
      <c r="E2247" s="5">
        <v>141099</v>
      </c>
      <c r="F2247" s="5" t="s">
        <v>10</v>
      </c>
      <c r="G2247" s="5" t="s">
        <v>11</v>
      </c>
      <c r="H2247" s="3" t="s">
        <v>2026</v>
      </c>
    </row>
    <row r="2248" spans="1:8" ht="13.8" x14ac:dyDescent="0.25">
      <c r="A2248" s="3" t="s">
        <v>2677</v>
      </c>
      <c r="B2248" s="3" t="s">
        <v>2775</v>
      </c>
      <c r="C2248" s="4" t="str">
        <f>HYPERLINK("http://www.rncp.cncp.gouv.fr/grand-public/visualisationFiche?format=fr&amp;fiche=2344","2344")</f>
        <v>2344</v>
      </c>
      <c r="D2248" s="4" t="str">
        <f>HYPERLINK("http://www.intercariforef.org/formations/certification-22069.html","22069")</f>
        <v>22069</v>
      </c>
      <c r="E2248" s="5">
        <v>141100</v>
      </c>
      <c r="F2248" s="5" t="s">
        <v>10</v>
      </c>
      <c r="G2248" s="5" t="s">
        <v>11</v>
      </c>
      <c r="H2248" s="3" t="s">
        <v>2026</v>
      </c>
    </row>
    <row r="2249" spans="1:8" ht="13.8" x14ac:dyDescent="0.25">
      <c r="A2249" s="3" t="s">
        <v>2677</v>
      </c>
      <c r="B2249" s="3" t="s">
        <v>2776</v>
      </c>
      <c r="C2249" s="4" t="str">
        <f>HYPERLINK("http://www.rncp.cncp.gouv.fr/grand-public/visualisationFiche?format=fr&amp;fiche=2330","2330")</f>
        <v>2330</v>
      </c>
      <c r="D2249" s="4" t="str">
        <f>HYPERLINK("http://www.intercariforef.org/formations/certification-63463.html","63463")</f>
        <v>63463</v>
      </c>
      <c r="E2249" s="5">
        <v>141101</v>
      </c>
      <c r="F2249" s="5" t="s">
        <v>10</v>
      </c>
      <c r="G2249" s="5" t="s">
        <v>11</v>
      </c>
      <c r="H2249" s="3" t="s">
        <v>2026</v>
      </c>
    </row>
    <row r="2250" spans="1:8" ht="13.8" x14ac:dyDescent="0.25">
      <c r="A2250" s="3" t="s">
        <v>2677</v>
      </c>
      <c r="B2250" s="3" t="s">
        <v>2777</v>
      </c>
      <c r="C2250" s="4" t="str">
        <f>HYPERLINK("http://www.rncp.cncp.gouv.fr/grand-public/visualisationFiche?format=fr&amp;fiche=2757","2757")</f>
        <v>2757</v>
      </c>
      <c r="D2250" s="4" t="str">
        <f>HYPERLINK("http://www.intercariforef.org/formations/certification-22071.html","22071")</f>
        <v>22071</v>
      </c>
      <c r="E2250" s="5">
        <v>141159</v>
      </c>
      <c r="F2250" s="5" t="s">
        <v>10</v>
      </c>
      <c r="G2250" s="5" t="s">
        <v>11</v>
      </c>
      <c r="H2250" s="3" t="s">
        <v>2026</v>
      </c>
    </row>
    <row r="2251" spans="1:8" ht="13.8" x14ac:dyDescent="0.25">
      <c r="A2251" s="3" t="s">
        <v>2677</v>
      </c>
      <c r="B2251" s="3" t="s">
        <v>2778</v>
      </c>
      <c r="C2251" s="4" t="str">
        <f>HYPERLINK("http://www.rncp.cncp.gouv.fr/grand-public/visualisationFiche?format=fr&amp;fiche=2759","2759")</f>
        <v>2759</v>
      </c>
      <c r="D2251" s="4" t="str">
        <f>HYPERLINK("http://www.intercariforef.org/formations/certification-22073.html","22073")</f>
        <v>22073</v>
      </c>
      <c r="E2251" s="5">
        <v>141160</v>
      </c>
      <c r="F2251" s="5" t="s">
        <v>10</v>
      </c>
      <c r="G2251" s="5" t="s">
        <v>11</v>
      </c>
      <c r="H2251" s="3" t="s">
        <v>2026</v>
      </c>
    </row>
    <row r="2252" spans="1:8" ht="13.8" x14ac:dyDescent="0.25">
      <c r="A2252" s="3" t="s">
        <v>2677</v>
      </c>
      <c r="B2252" s="3" t="s">
        <v>2779</v>
      </c>
      <c r="C2252" s="4" t="str">
        <f>HYPERLINK("http://www.rncp.cncp.gouv.fr/grand-public/visualisationFiche?format=fr&amp;fiche=2758","2758")</f>
        <v>2758</v>
      </c>
      <c r="D2252" s="4" t="str">
        <f>HYPERLINK("http://www.intercariforef.org/formations/certification-22074.html","22074")</f>
        <v>22074</v>
      </c>
      <c r="E2252" s="5">
        <v>141161</v>
      </c>
      <c r="F2252" s="5" t="s">
        <v>10</v>
      </c>
      <c r="G2252" s="5" t="s">
        <v>11</v>
      </c>
      <c r="H2252" s="3" t="s">
        <v>2026</v>
      </c>
    </row>
    <row r="2253" spans="1:8" ht="13.8" x14ac:dyDescent="0.25">
      <c r="A2253" s="3" t="s">
        <v>2677</v>
      </c>
      <c r="B2253" s="3" t="s">
        <v>2780</v>
      </c>
      <c r="C2253" s="4" t="str">
        <f>HYPERLINK("http://www.rncp.cncp.gouv.fr/grand-public/visualisationFiche?format=fr&amp;fiche=2756","2756")</f>
        <v>2756</v>
      </c>
      <c r="D2253" s="4" t="str">
        <f>HYPERLINK("http://www.intercariforef.org/formations/certification-22075.html","22075")</f>
        <v>22075</v>
      </c>
      <c r="E2253" s="5">
        <v>2057</v>
      </c>
      <c r="F2253" s="5" t="s">
        <v>10</v>
      </c>
      <c r="G2253" s="5" t="s">
        <v>11</v>
      </c>
      <c r="H2253" s="3" t="s">
        <v>2026</v>
      </c>
    </row>
    <row r="2254" spans="1:8" ht="13.8" x14ac:dyDescent="0.25">
      <c r="A2254" s="3" t="s">
        <v>2677</v>
      </c>
      <c r="B2254" s="3" t="s">
        <v>2781</v>
      </c>
      <c r="C2254" s="4" t="str">
        <f>HYPERLINK("http://www.rncp.cncp.gouv.fr/grand-public/visualisationFiche?format=fr&amp;fiche=2341","2341")</f>
        <v>2341</v>
      </c>
      <c r="D2254" s="4" t="str">
        <f>HYPERLINK("http://www.intercariforef.org/formations/certification-22076.html","22076")</f>
        <v>22076</v>
      </c>
      <c r="E2254" s="5">
        <v>2058</v>
      </c>
      <c r="F2254" s="5" t="s">
        <v>10</v>
      </c>
      <c r="G2254" s="5" t="s">
        <v>11</v>
      </c>
      <c r="H2254" s="3" t="s">
        <v>2026</v>
      </c>
    </row>
    <row r="2255" spans="1:8" ht="13.8" x14ac:dyDescent="0.25">
      <c r="A2255" s="3" t="s">
        <v>2677</v>
      </c>
      <c r="B2255" s="3" t="s">
        <v>2782</v>
      </c>
      <c r="C2255" s="5"/>
      <c r="D2255" s="4" t="str">
        <f>HYPERLINK("http://www.intercariforef.org/formations/certification-74793.html","74793")</f>
        <v>74793</v>
      </c>
      <c r="E2255" s="5">
        <v>2059</v>
      </c>
      <c r="F2255" s="5" t="s">
        <v>10</v>
      </c>
      <c r="G2255" s="5" t="s">
        <v>11</v>
      </c>
      <c r="H2255" s="3" t="s">
        <v>2504</v>
      </c>
    </row>
    <row r="2256" spans="1:8" ht="13.8" x14ac:dyDescent="0.25">
      <c r="A2256" s="3" t="s">
        <v>2677</v>
      </c>
      <c r="B2256" s="3" t="s">
        <v>2783</v>
      </c>
      <c r="C2256" s="4" t="str">
        <f>HYPERLINK("http://www.rncp.cncp.gouv.fr/grand-public/visualisationFiche?format=fr&amp;fiche=2278","2278")</f>
        <v>2278</v>
      </c>
      <c r="D2256" s="4" t="str">
        <f>HYPERLINK("http://www.intercariforef.org/formations/certification-20890.html","20890")</f>
        <v>20890</v>
      </c>
      <c r="E2256" s="5">
        <v>141169</v>
      </c>
      <c r="F2256" s="5" t="s">
        <v>10</v>
      </c>
      <c r="G2256" s="5" t="s">
        <v>11</v>
      </c>
      <c r="H2256" s="3" t="s">
        <v>2026</v>
      </c>
    </row>
    <row r="2257" spans="1:8" ht="13.8" x14ac:dyDescent="0.25">
      <c r="A2257" s="3" t="s">
        <v>2677</v>
      </c>
      <c r="B2257" s="3" t="s">
        <v>2784</v>
      </c>
      <c r="C2257" s="4" t="str">
        <f>HYPERLINK("http://www.rncp.cncp.gouv.fr/grand-public/visualisationFiche?format=fr&amp;fiche=2305","2305")</f>
        <v>2305</v>
      </c>
      <c r="D2257" s="4" t="str">
        <f>HYPERLINK("http://www.intercariforef.org/formations/certification-22318.html","22318")</f>
        <v>22318</v>
      </c>
      <c r="E2257" s="5">
        <v>2062</v>
      </c>
      <c r="F2257" s="5" t="s">
        <v>10</v>
      </c>
      <c r="G2257" s="5" t="s">
        <v>11</v>
      </c>
      <c r="H2257" s="3" t="s">
        <v>2026</v>
      </c>
    </row>
    <row r="2258" spans="1:8" ht="13.8" x14ac:dyDescent="0.25">
      <c r="A2258" s="3" t="s">
        <v>2677</v>
      </c>
      <c r="B2258" s="3" t="s">
        <v>2785</v>
      </c>
      <c r="C2258" s="4" t="str">
        <f>HYPERLINK("http://www.rncp.cncp.gouv.fr/grand-public/visualisationFiche?format=fr&amp;fiche=2303","2303")</f>
        <v>2303</v>
      </c>
      <c r="D2258" s="4" t="str">
        <f>HYPERLINK("http://www.intercariforef.org/formations/certification-22321.html","22321")</f>
        <v>22321</v>
      </c>
      <c r="E2258" s="5">
        <v>2081</v>
      </c>
      <c r="F2258" s="5" t="s">
        <v>10</v>
      </c>
      <c r="G2258" s="5" t="s">
        <v>11</v>
      </c>
      <c r="H2258" s="3" t="s">
        <v>2026</v>
      </c>
    </row>
    <row r="2259" spans="1:8" ht="13.8" x14ac:dyDescent="0.25">
      <c r="A2259" s="3" t="s">
        <v>2677</v>
      </c>
      <c r="B2259" s="3" t="s">
        <v>2786</v>
      </c>
      <c r="C2259" s="4" t="str">
        <f>HYPERLINK("http://www.rncp.cncp.gouv.fr/grand-public/visualisationFiche?format=fr&amp;fiche=4101","4101")</f>
        <v>4101</v>
      </c>
      <c r="D2259" s="4" t="str">
        <f>HYPERLINK("http://www.intercariforef.org/formations/certification-46819.html","46819")</f>
        <v>46819</v>
      </c>
      <c r="E2259" s="5">
        <v>141175</v>
      </c>
      <c r="F2259" s="5" t="s">
        <v>10</v>
      </c>
      <c r="G2259" s="5" t="s">
        <v>11</v>
      </c>
      <c r="H2259" s="3" t="s">
        <v>2026</v>
      </c>
    </row>
    <row r="2260" spans="1:8" ht="27.6" x14ac:dyDescent="0.25">
      <c r="A2260" s="3" t="s">
        <v>2677</v>
      </c>
      <c r="B2260" s="3" t="s">
        <v>2787</v>
      </c>
      <c r="C2260" s="4" t="str">
        <f>HYPERLINK("http://www.rncp.cncp.gouv.fr/grand-public/visualisationFiche?format=fr&amp;fiche=17163","17163")</f>
        <v>17163</v>
      </c>
      <c r="D2260" s="4" t="str">
        <f>HYPERLINK("http://www.intercariforef.org/formations/certification-81510.html","81510")</f>
        <v>81510</v>
      </c>
      <c r="E2260" s="5">
        <v>154436</v>
      </c>
      <c r="F2260" s="5" t="s">
        <v>10</v>
      </c>
      <c r="G2260" s="5" t="s">
        <v>11</v>
      </c>
      <c r="H2260" s="3" t="s">
        <v>2788</v>
      </c>
    </row>
    <row r="2261" spans="1:8" ht="13.8" x14ac:dyDescent="0.25">
      <c r="A2261" s="3" t="s">
        <v>2677</v>
      </c>
      <c r="B2261" s="3" t="s">
        <v>2789</v>
      </c>
      <c r="C2261" s="4" t="str">
        <f>HYPERLINK("http://www.rncp.cncp.gouv.fr/grand-public/visualisationFiche?format=fr&amp;fiche=14423","14423")</f>
        <v>14423</v>
      </c>
      <c r="D2261" s="4" t="str">
        <f>HYPERLINK("http://www.intercariforef.org/formations/certification-22344.html","22344")</f>
        <v>22344</v>
      </c>
      <c r="E2261" s="5">
        <v>141172</v>
      </c>
      <c r="F2261" s="5" t="s">
        <v>10</v>
      </c>
      <c r="G2261" s="5" t="s">
        <v>11</v>
      </c>
      <c r="H2261" s="3" t="s">
        <v>2790</v>
      </c>
    </row>
    <row r="2262" spans="1:8" ht="27.6" x14ac:dyDescent="0.25">
      <c r="A2262" s="3" t="s">
        <v>2677</v>
      </c>
      <c r="B2262" s="3" t="s">
        <v>2791</v>
      </c>
      <c r="C2262" s="4" t="str">
        <f>HYPERLINK("http://www.rncp.cncp.gouv.fr/grand-public/visualisationFiche?format=fr&amp;fiche=1481","1481")</f>
        <v>1481</v>
      </c>
      <c r="D2262" s="4" t="str">
        <f>HYPERLINK("http://www.intercariforef.org/formations/certification-80486.html","80486")</f>
        <v>80486</v>
      </c>
      <c r="E2262" s="5">
        <v>141173</v>
      </c>
      <c r="F2262" s="5" t="s">
        <v>10</v>
      </c>
      <c r="G2262" s="5" t="s">
        <v>11</v>
      </c>
      <c r="H2262" s="3" t="s">
        <v>1937</v>
      </c>
    </row>
    <row r="2263" spans="1:8" ht="13.8" x14ac:dyDescent="0.25">
      <c r="A2263" s="3" t="s">
        <v>2677</v>
      </c>
      <c r="B2263" s="3" t="s">
        <v>2792</v>
      </c>
      <c r="C2263" s="4" t="str">
        <f>HYPERLINK("http://www.rncp.cncp.gouv.fr/grand-public/visualisationFiche?format=fr&amp;fiche=4504","4504")</f>
        <v>4504</v>
      </c>
      <c r="D2263" s="4" t="str">
        <f>HYPERLINK("http://www.intercariforef.org/formations/certification-52411.html","52411")</f>
        <v>52411</v>
      </c>
      <c r="E2263" s="5">
        <v>161220</v>
      </c>
      <c r="F2263" s="5" t="s">
        <v>10</v>
      </c>
      <c r="G2263" s="5" t="s">
        <v>11</v>
      </c>
      <c r="H2263" s="3" t="s">
        <v>1146</v>
      </c>
    </row>
    <row r="2264" spans="1:8" ht="13.8" x14ac:dyDescent="0.25">
      <c r="A2264" s="3" t="s">
        <v>2677</v>
      </c>
      <c r="B2264" s="3" t="s">
        <v>2793</v>
      </c>
      <c r="C2264" s="4" t="str">
        <f>HYPERLINK("http://www.rncp.cncp.gouv.fr/grand-public/visualisationFiche?format=fr&amp;fiche=4495","4495")</f>
        <v>4495</v>
      </c>
      <c r="D2264" s="4" t="str">
        <f>HYPERLINK("http://www.intercariforef.org/formations/certification-54913.html","54913")</f>
        <v>54913</v>
      </c>
      <c r="E2264" s="5">
        <v>2083</v>
      </c>
      <c r="F2264" s="5" t="s">
        <v>10</v>
      </c>
      <c r="G2264" s="5" t="s">
        <v>11</v>
      </c>
      <c r="H2264" s="3" t="s">
        <v>1146</v>
      </c>
    </row>
    <row r="2265" spans="1:8" ht="13.8" x14ac:dyDescent="0.25">
      <c r="A2265" s="3" t="s">
        <v>2677</v>
      </c>
      <c r="B2265" s="3" t="s">
        <v>2794</v>
      </c>
      <c r="C2265" s="4" t="str">
        <f>HYPERLINK("http://www.rncp.cncp.gouv.fr/grand-public/visualisationFiche?format=fr&amp;fiche=4812","4812")</f>
        <v>4812</v>
      </c>
      <c r="D2265" s="4" t="str">
        <f>HYPERLINK("http://www.intercariforef.org/formations/certification-54912.html","54912")</f>
        <v>54912</v>
      </c>
      <c r="E2265" s="5">
        <v>2082</v>
      </c>
      <c r="F2265" s="5" t="s">
        <v>10</v>
      </c>
      <c r="G2265" s="5" t="s">
        <v>11</v>
      </c>
      <c r="H2265" s="3" t="s">
        <v>1146</v>
      </c>
    </row>
    <row r="2266" spans="1:8" ht="13.8" x14ac:dyDescent="0.25">
      <c r="A2266" s="3" t="s">
        <v>2677</v>
      </c>
      <c r="B2266" s="3" t="s">
        <v>2795</v>
      </c>
      <c r="C2266" s="4" t="str">
        <f>HYPERLINK("http://www.rncp.cncp.gouv.fr/grand-public/visualisationFiche?format=fr&amp;fiche=4500","4500")</f>
        <v>4500</v>
      </c>
      <c r="D2266" s="4" t="str">
        <f>HYPERLINK("http://www.intercariforef.org/formations/certification-53258.html","53258")</f>
        <v>53258</v>
      </c>
      <c r="E2266" s="5">
        <v>161219</v>
      </c>
      <c r="F2266" s="5" t="s">
        <v>10</v>
      </c>
      <c r="G2266" s="5" t="s">
        <v>11</v>
      </c>
      <c r="H2266" s="3" t="s">
        <v>1146</v>
      </c>
    </row>
    <row r="2267" spans="1:8" ht="13.8" x14ac:dyDescent="0.25">
      <c r="A2267" s="3" t="s">
        <v>2677</v>
      </c>
      <c r="B2267" s="3" t="s">
        <v>2796</v>
      </c>
      <c r="C2267" s="4" t="str">
        <f>HYPERLINK("http://www.rncp.cncp.gouv.fr/grand-public/visualisationFiche?format=fr&amp;fiche=4496","4496")</f>
        <v>4496</v>
      </c>
      <c r="D2267" s="4" t="str">
        <f>HYPERLINK("http://www.intercariforef.org/formations/certification-54917.html","54917")</f>
        <v>54917</v>
      </c>
      <c r="E2267" s="5">
        <v>130757</v>
      </c>
      <c r="F2267" s="5" t="s">
        <v>10</v>
      </c>
      <c r="G2267" s="5" t="s">
        <v>11</v>
      </c>
      <c r="H2267" s="3" t="s">
        <v>1146</v>
      </c>
    </row>
    <row r="2268" spans="1:8" ht="13.8" x14ac:dyDescent="0.25">
      <c r="A2268" s="3" t="s">
        <v>2677</v>
      </c>
      <c r="B2268" s="3" t="s">
        <v>2797</v>
      </c>
      <c r="C2268" s="4" t="str">
        <f>HYPERLINK("http://www.rncp.cncp.gouv.fr/grand-public/visualisationFiche?format=fr&amp;fiche=5440","5440")</f>
        <v>5440</v>
      </c>
      <c r="D2268" s="4" t="str">
        <f>HYPERLINK("http://www.intercariforef.org/formations/certification-22377.html","22377")</f>
        <v>22377</v>
      </c>
      <c r="E2268" s="5">
        <v>130756</v>
      </c>
      <c r="F2268" s="5" t="s">
        <v>10</v>
      </c>
      <c r="G2268" s="5" t="s">
        <v>11</v>
      </c>
      <c r="H2268" s="3" t="s">
        <v>1146</v>
      </c>
    </row>
    <row r="2269" spans="1:8" ht="13.8" x14ac:dyDescent="0.25">
      <c r="A2269" s="3" t="s">
        <v>2677</v>
      </c>
      <c r="B2269" s="3" t="s">
        <v>2798</v>
      </c>
      <c r="C2269" s="4" t="str">
        <f>HYPERLINK("http://www.rncp.cncp.gouv.fr/grand-public/visualisationFiche?format=fr&amp;fiche=17799","17799")</f>
        <v>17799</v>
      </c>
      <c r="D2269" s="4" t="str">
        <f>HYPERLINK("http://www.intercariforef.org/formations/certification-63669.html","63669")</f>
        <v>63669</v>
      </c>
      <c r="E2269" s="5">
        <v>130760</v>
      </c>
      <c r="F2269" s="5" t="s">
        <v>10</v>
      </c>
      <c r="G2269" s="5" t="s">
        <v>11</v>
      </c>
      <c r="H2269" s="3" t="s">
        <v>2692</v>
      </c>
    </row>
    <row r="2270" spans="1:8" ht="27.6" x14ac:dyDescent="0.25">
      <c r="A2270" s="3" t="s">
        <v>2677</v>
      </c>
      <c r="B2270" s="3" t="s">
        <v>2799</v>
      </c>
      <c r="C2270" s="4" t="str">
        <f>HYPERLINK("http://www.rncp.cncp.gouv.fr/grand-public/visualisationFiche?format=fr&amp;fiche=1569","1569")</f>
        <v>1569</v>
      </c>
      <c r="D2270" s="4" t="str">
        <f>HYPERLINK("http://www.intercariforef.org/formations/certification-54619.html","54619")</f>
        <v>54619</v>
      </c>
      <c r="E2270" s="5">
        <v>161222</v>
      </c>
      <c r="F2270" s="5" t="s">
        <v>10</v>
      </c>
      <c r="G2270" s="5" t="s">
        <v>11</v>
      </c>
      <c r="H2270" s="3" t="s">
        <v>2247</v>
      </c>
    </row>
    <row r="2271" spans="1:8" ht="13.8" x14ac:dyDescent="0.25">
      <c r="A2271" s="3" t="s">
        <v>2677</v>
      </c>
      <c r="B2271" s="3" t="s">
        <v>2800</v>
      </c>
      <c r="C2271" s="4" t="str">
        <f>HYPERLINK("http://www.rncp.cncp.gouv.fr/grand-public/visualisationFiche?format=fr&amp;fiche=701","701")</f>
        <v>701</v>
      </c>
      <c r="D2271" s="4" t="str">
        <f>HYPERLINK("http://www.intercariforef.org/formations/certification-22083.html","22083")</f>
        <v>22083</v>
      </c>
      <c r="E2271" s="5">
        <v>2084</v>
      </c>
      <c r="F2271" s="5" t="s">
        <v>10</v>
      </c>
      <c r="G2271" s="5" t="s">
        <v>11</v>
      </c>
      <c r="H2271" s="3" t="s">
        <v>81</v>
      </c>
    </row>
    <row r="2272" spans="1:8" ht="13.8" x14ac:dyDescent="0.25">
      <c r="A2272" s="3" t="s">
        <v>2677</v>
      </c>
      <c r="B2272" s="3" t="s">
        <v>2801</v>
      </c>
      <c r="C2272" s="4" t="str">
        <f>HYPERLINK("http://www.rncp.cncp.gouv.fr/grand-public/visualisationFiche?format=fr&amp;fiche=6981","6981")</f>
        <v>6981</v>
      </c>
      <c r="D2272" s="4" t="str">
        <f>HYPERLINK("http://www.intercariforef.org/formations/certification-58434.html","58434")</f>
        <v>58434</v>
      </c>
      <c r="E2272" s="5">
        <v>141179</v>
      </c>
      <c r="F2272" s="5" t="s">
        <v>10</v>
      </c>
      <c r="G2272" s="5" t="s">
        <v>11</v>
      </c>
      <c r="H2272" s="3" t="s">
        <v>81</v>
      </c>
    </row>
    <row r="2273" spans="1:8" ht="13.8" x14ac:dyDescent="0.25">
      <c r="A2273" s="3" t="s">
        <v>2677</v>
      </c>
      <c r="B2273" s="3" t="s">
        <v>2802</v>
      </c>
      <c r="C2273" s="4" t="str">
        <f>HYPERLINK("http://www.rncp.cncp.gouv.fr/grand-public/visualisationFiche?format=fr&amp;fiche=6984","6984")</f>
        <v>6984</v>
      </c>
      <c r="D2273" s="4" t="str">
        <f>HYPERLINK("http://www.intercariforef.org/formations/certification-58431.html","58431")</f>
        <v>58431</v>
      </c>
      <c r="E2273" s="5">
        <v>141180</v>
      </c>
      <c r="F2273" s="5" t="s">
        <v>10</v>
      </c>
      <c r="G2273" s="5" t="s">
        <v>11</v>
      </c>
      <c r="H2273" s="3" t="s">
        <v>81</v>
      </c>
    </row>
    <row r="2274" spans="1:8" ht="13.8" x14ac:dyDescent="0.25">
      <c r="A2274" s="3" t="s">
        <v>2677</v>
      </c>
      <c r="B2274" s="3" t="s">
        <v>2803</v>
      </c>
      <c r="C2274" s="4" t="str">
        <f>HYPERLINK("http://www.rncp.cncp.gouv.fr/grand-public/visualisationFiche?format=fr&amp;fiche=958","958")</f>
        <v>958</v>
      </c>
      <c r="D2274" s="4" t="str">
        <f>HYPERLINK("http://www.intercariforef.org/formations/certification-22098.html","22098")</f>
        <v>22098</v>
      </c>
      <c r="E2274" s="5">
        <v>2085</v>
      </c>
      <c r="F2274" s="5" t="s">
        <v>10</v>
      </c>
      <c r="G2274" s="5" t="s">
        <v>11</v>
      </c>
      <c r="H2274" s="3" t="s">
        <v>81</v>
      </c>
    </row>
    <row r="2275" spans="1:8" ht="13.8" x14ac:dyDescent="0.25">
      <c r="A2275" s="3" t="s">
        <v>2677</v>
      </c>
      <c r="B2275" s="3" t="s">
        <v>2804</v>
      </c>
      <c r="C2275" s="4" t="str">
        <f>HYPERLINK("http://www.rncp.cncp.gouv.fr/grand-public/visualisationFiche?format=fr&amp;fiche=832","832")</f>
        <v>832</v>
      </c>
      <c r="D2275" s="4" t="str">
        <f>HYPERLINK("http://www.intercariforef.org/formations/certification-22110.html","22110")</f>
        <v>22110</v>
      </c>
      <c r="E2275" s="5">
        <v>154440</v>
      </c>
      <c r="F2275" s="5" t="s">
        <v>10</v>
      </c>
      <c r="G2275" s="5" t="s">
        <v>11</v>
      </c>
      <c r="H2275" s="3" t="s">
        <v>81</v>
      </c>
    </row>
    <row r="2276" spans="1:8" ht="13.8" x14ac:dyDescent="0.25">
      <c r="A2276" s="3" t="s">
        <v>2677</v>
      </c>
      <c r="B2276" s="3" t="s">
        <v>2805</v>
      </c>
      <c r="C2276" s="4" t="str">
        <f>HYPERLINK("http://www.rncp.cncp.gouv.fr/grand-public/visualisationFiche?format=fr&amp;fiche=730","730")</f>
        <v>730</v>
      </c>
      <c r="D2276" s="4" t="str">
        <f>HYPERLINK("http://www.intercariforef.org/formations/certification-22115.html","22115")</f>
        <v>22115</v>
      </c>
      <c r="E2276" s="5">
        <v>141178</v>
      </c>
      <c r="F2276" s="5" t="s">
        <v>10</v>
      </c>
      <c r="G2276" s="5" t="s">
        <v>11</v>
      </c>
      <c r="H2276" s="3" t="s">
        <v>81</v>
      </c>
    </row>
    <row r="2277" spans="1:8" ht="13.8" x14ac:dyDescent="0.25">
      <c r="A2277" s="3" t="s">
        <v>2677</v>
      </c>
      <c r="B2277" s="3" t="s">
        <v>2806</v>
      </c>
      <c r="C2277" s="4" t="str">
        <f>HYPERLINK("http://www.rncp.cncp.gouv.fr/grand-public/visualisationFiche?format=fr&amp;fiche=2444","2444")</f>
        <v>2444</v>
      </c>
      <c r="D2277" s="4" t="str">
        <f>HYPERLINK("http://www.intercariforef.org/formations/certification-22136.html","22136")</f>
        <v>22136</v>
      </c>
      <c r="E2277" s="5">
        <v>2086</v>
      </c>
      <c r="F2277" s="5" t="s">
        <v>10</v>
      </c>
      <c r="G2277" s="5" t="s">
        <v>11</v>
      </c>
      <c r="H2277" s="3" t="s">
        <v>81</v>
      </c>
    </row>
    <row r="2278" spans="1:8" ht="13.8" x14ac:dyDescent="0.25">
      <c r="A2278" s="3" t="s">
        <v>2677</v>
      </c>
      <c r="B2278" s="3" t="s">
        <v>2807</v>
      </c>
      <c r="C2278" s="4" t="str">
        <f>HYPERLINK("http://www.rncp.cncp.gouv.fr/grand-public/visualisationFiche?format=fr&amp;fiche=862","862")</f>
        <v>862</v>
      </c>
      <c r="D2278" s="4" t="str">
        <f>HYPERLINK("http://www.intercariforef.org/formations/certification-22142.html","22142")</f>
        <v>22142</v>
      </c>
      <c r="E2278" s="5">
        <v>142298</v>
      </c>
      <c r="F2278" s="5" t="s">
        <v>10</v>
      </c>
      <c r="G2278" s="5" t="s">
        <v>11</v>
      </c>
      <c r="H2278" s="3" t="s">
        <v>81</v>
      </c>
    </row>
    <row r="2279" spans="1:8" ht="13.8" x14ac:dyDescent="0.25">
      <c r="A2279" s="3" t="s">
        <v>2677</v>
      </c>
      <c r="B2279" s="3" t="s">
        <v>2808</v>
      </c>
      <c r="C2279" s="4" t="str">
        <f>HYPERLINK("http://www.rncp.cncp.gouv.fr/grand-public/visualisationFiche?format=fr&amp;fiche=6985","6985")</f>
        <v>6985</v>
      </c>
      <c r="D2279" s="4" t="str">
        <f>HYPERLINK("http://www.intercariforef.org/formations/certification-58310.html","58310")</f>
        <v>58310</v>
      </c>
      <c r="E2279" s="5">
        <v>2087</v>
      </c>
      <c r="F2279" s="5" t="s">
        <v>10</v>
      </c>
      <c r="G2279" s="5" t="s">
        <v>11</v>
      </c>
      <c r="H2279" s="3" t="s">
        <v>81</v>
      </c>
    </row>
    <row r="2280" spans="1:8" ht="13.8" x14ac:dyDescent="0.25">
      <c r="A2280" s="3" t="s">
        <v>2677</v>
      </c>
      <c r="B2280" s="3" t="s">
        <v>2809</v>
      </c>
      <c r="C2280" s="4" t="str">
        <f>HYPERLINK("http://www.rncp.cncp.gouv.fr/grand-public/visualisationFiche?format=fr&amp;fiche=1177","1177")</f>
        <v>1177</v>
      </c>
      <c r="D2280" s="4" t="str">
        <f>HYPERLINK("http://www.intercariforef.org/formations/certification-45519.html","45519")</f>
        <v>45519</v>
      </c>
      <c r="E2280" s="5">
        <v>141181</v>
      </c>
      <c r="F2280" s="5" t="s">
        <v>10</v>
      </c>
      <c r="G2280" s="5" t="s">
        <v>11</v>
      </c>
      <c r="H2280" s="3" t="s">
        <v>81</v>
      </c>
    </row>
    <row r="2281" spans="1:8" ht="13.8" x14ac:dyDescent="0.25">
      <c r="A2281" s="3" t="s">
        <v>2677</v>
      </c>
      <c r="B2281" s="3" t="s">
        <v>2810</v>
      </c>
      <c r="C2281" s="4" t="str">
        <f>HYPERLINK("http://www.rncp.cncp.gouv.fr/grand-public/visualisationFiche?format=fr&amp;fiche=742","742")</f>
        <v>742</v>
      </c>
      <c r="D2281" s="4" t="str">
        <f>HYPERLINK("http://www.intercariforef.org/formations/certification-22158.html","22158")</f>
        <v>22158</v>
      </c>
      <c r="E2281" s="5">
        <v>2088</v>
      </c>
      <c r="F2281" s="5" t="s">
        <v>10</v>
      </c>
      <c r="G2281" s="5" t="s">
        <v>11</v>
      </c>
      <c r="H2281" s="3" t="s">
        <v>81</v>
      </c>
    </row>
    <row r="2282" spans="1:8" ht="27.6" x14ac:dyDescent="0.25">
      <c r="A2282" s="3" t="s">
        <v>2677</v>
      </c>
      <c r="B2282" s="3" t="s">
        <v>2811</v>
      </c>
      <c r="C2282" s="4" t="str">
        <f>HYPERLINK("http://www.rncp.cncp.gouv.fr/grand-public/visualisationFiche?format=fr&amp;fiche=7401","7401")</f>
        <v>7401</v>
      </c>
      <c r="D2282" s="4" t="str">
        <f>HYPERLINK("http://www.intercariforef.org/formations/certification-63666.html","63666")</f>
        <v>63666</v>
      </c>
      <c r="E2282" s="5">
        <v>141182</v>
      </c>
      <c r="F2282" s="5" t="s">
        <v>10</v>
      </c>
      <c r="G2282" s="5" t="s">
        <v>11</v>
      </c>
      <c r="H2282" s="3" t="s">
        <v>2264</v>
      </c>
    </row>
    <row r="2283" spans="1:8" ht="27.6" x14ac:dyDescent="0.25">
      <c r="A2283" s="3" t="s">
        <v>2677</v>
      </c>
      <c r="B2283" s="3" t="s">
        <v>2812</v>
      </c>
      <c r="C2283" s="4" t="str">
        <f>HYPERLINK("http://www.rncp.cncp.gouv.fr/grand-public/visualisationFiche?format=fr&amp;fiche=4519","4519")</f>
        <v>4519</v>
      </c>
      <c r="D2283" s="4" t="str">
        <f>HYPERLINK("http://www.intercariforef.org/formations/certification-78590.html","78590")</f>
        <v>78590</v>
      </c>
      <c r="E2283" s="5">
        <v>2093</v>
      </c>
      <c r="F2283" s="5" t="s">
        <v>10</v>
      </c>
      <c r="G2283" s="5" t="s">
        <v>11</v>
      </c>
      <c r="H2283" s="3" t="s">
        <v>1889</v>
      </c>
    </row>
    <row r="2284" spans="1:8" ht="13.8" x14ac:dyDescent="0.25">
      <c r="A2284" s="3" t="s">
        <v>2677</v>
      </c>
      <c r="B2284" s="3" t="s">
        <v>2813</v>
      </c>
      <c r="C2284" s="4" t="str">
        <f>HYPERLINK("http://www.rncp.cncp.gouv.fr/grand-public/visualisationFiche?format=fr&amp;fiche=11499","11499")</f>
        <v>11499</v>
      </c>
      <c r="D2284" s="4" t="str">
        <f>HYPERLINK("http://www.intercariforef.org/formations/certification-72710.html","72710")</f>
        <v>72710</v>
      </c>
      <c r="E2284" s="5">
        <v>141183</v>
      </c>
      <c r="F2284" s="5" t="s">
        <v>10</v>
      </c>
      <c r="G2284" s="5" t="s">
        <v>11</v>
      </c>
      <c r="H2284" s="3" t="s">
        <v>2814</v>
      </c>
    </row>
    <row r="2285" spans="1:8" ht="27.6" x14ac:dyDescent="0.25">
      <c r="A2285" s="3" t="s">
        <v>2677</v>
      </c>
      <c r="B2285" s="3" t="s">
        <v>2815</v>
      </c>
      <c r="C2285" s="4" t="str">
        <f>HYPERLINK("http://www.rncp.cncp.gouv.fr/grand-public/visualisationFiche?format=fr&amp;fiche=4536","4536")</f>
        <v>4536</v>
      </c>
      <c r="D2285" s="4" t="str">
        <f>HYPERLINK("http://www.intercariforef.org/formations/certification-81086.html","81086")</f>
        <v>81086</v>
      </c>
      <c r="E2285" s="5">
        <v>154439</v>
      </c>
      <c r="F2285" s="5" t="s">
        <v>10</v>
      </c>
      <c r="G2285" s="5" t="s">
        <v>11</v>
      </c>
      <c r="H2285" s="3" t="s">
        <v>1937</v>
      </c>
    </row>
    <row r="2286" spans="1:8" ht="27.6" x14ac:dyDescent="0.25">
      <c r="A2286" s="3" t="s">
        <v>2677</v>
      </c>
      <c r="B2286" s="3" t="s">
        <v>2816</v>
      </c>
      <c r="C2286" s="4" t="str">
        <f>HYPERLINK("http://www.rncp.cncp.gouv.fr/grand-public/visualisationFiche?format=fr&amp;fiche=4536","4536")</f>
        <v>4536</v>
      </c>
      <c r="D2286" s="4" t="str">
        <f>HYPERLINK("http://www.intercariforef.org/formations/certification-81370.html","81370")</f>
        <v>81370</v>
      </c>
      <c r="E2286" s="5">
        <v>154438</v>
      </c>
      <c r="F2286" s="5" t="s">
        <v>10</v>
      </c>
      <c r="G2286" s="5" t="s">
        <v>11</v>
      </c>
      <c r="H2286" s="3" t="s">
        <v>1937</v>
      </c>
    </row>
    <row r="2287" spans="1:8" ht="13.8" x14ac:dyDescent="0.25">
      <c r="A2287" s="3" t="s">
        <v>2677</v>
      </c>
      <c r="B2287" s="3" t="s">
        <v>2817</v>
      </c>
      <c r="C2287" s="4" t="str">
        <f>HYPERLINK("http://www.rncp.cncp.gouv.fr/grand-public/visualisationFiche?format=fr&amp;fiche=5983","5983")</f>
        <v>5983</v>
      </c>
      <c r="D2287" s="4" t="str">
        <f>HYPERLINK("http://www.intercariforef.org/formations/certification-59364.html","59364")</f>
        <v>59364</v>
      </c>
      <c r="E2287" s="5">
        <v>161223</v>
      </c>
      <c r="F2287" s="5" t="s">
        <v>10</v>
      </c>
      <c r="G2287" s="5" t="s">
        <v>11</v>
      </c>
      <c r="H2287" s="3" t="s">
        <v>1758</v>
      </c>
    </row>
    <row r="2288" spans="1:8" ht="27.6" x14ac:dyDescent="0.25">
      <c r="A2288" s="3" t="s">
        <v>2677</v>
      </c>
      <c r="B2288" s="3" t="s">
        <v>2818</v>
      </c>
      <c r="C2288" s="4" t="str">
        <f>HYPERLINK("http://www.rncp.cncp.gouv.fr/grand-public/visualisationFiche?format=fr&amp;fiche=14908","14908")</f>
        <v>14908</v>
      </c>
      <c r="D2288" s="4" t="str">
        <f>HYPERLINK("http://www.intercariforef.org/formations/certification-78849.html","78849")</f>
        <v>78849</v>
      </c>
      <c r="E2288" s="5">
        <v>154441</v>
      </c>
      <c r="F2288" s="5" t="s">
        <v>10</v>
      </c>
      <c r="G2288" s="5" t="s">
        <v>11</v>
      </c>
      <c r="H2288" s="3" t="s">
        <v>2544</v>
      </c>
    </row>
    <row r="2289" spans="1:8" ht="27.6" x14ac:dyDescent="0.25">
      <c r="A2289" s="3" t="s">
        <v>2677</v>
      </c>
      <c r="B2289" s="3" t="s">
        <v>2819</v>
      </c>
      <c r="C2289" s="4" t="str">
        <f>HYPERLINK("http://www.rncp.cncp.gouv.fr/grand-public/visualisationFiche?format=fr&amp;fiche=6452","6452")</f>
        <v>6452</v>
      </c>
      <c r="D2289" s="4" t="str">
        <f>HYPERLINK("http://www.intercariforef.org/formations/certification-63246.html","63246")</f>
        <v>63246</v>
      </c>
      <c r="E2289" s="5">
        <v>2099</v>
      </c>
      <c r="F2289" s="5" t="s">
        <v>10</v>
      </c>
      <c r="G2289" s="5" t="s">
        <v>11</v>
      </c>
      <c r="H2289" s="3" t="s">
        <v>1889</v>
      </c>
    </row>
    <row r="2290" spans="1:8" ht="27.6" x14ac:dyDescent="0.25">
      <c r="A2290" s="3" t="s">
        <v>2677</v>
      </c>
      <c r="B2290" s="3" t="s">
        <v>2820</v>
      </c>
      <c r="C2290" s="4" t="str">
        <f>HYPERLINK("http://www.rncp.cncp.gouv.fr/grand-public/visualisationFiche?format=fr&amp;fiche=1887","1887")</f>
        <v>1887</v>
      </c>
      <c r="D2290" s="4" t="str">
        <f>HYPERLINK("http://www.intercariforef.org/formations/certification-81026.html","81026")</f>
        <v>81026</v>
      </c>
      <c r="E2290" s="5">
        <v>154442</v>
      </c>
      <c r="F2290" s="5" t="s">
        <v>10</v>
      </c>
      <c r="G2290" s="5" t="s">
        <v>11</v>
      </c>
      <c r="H2290" s="3" t="s">
        <v>1889</v>
      </c>
    </row>
    <row r="2291" spans="1:8" ht="27.6" x14ac:dyDescent="0.25">
      <c r="A2291" s="3" t="s">
        <v>2677</v>
      </c>
      <c r="B2291" s="3" t="s">
        <v>2821</v>
      </c>
      <c r="C2291" s="4" t="str">
        <f>HYPERLINK("http://www.rncp.cncp.gouv.fr/grand-public/visualisationFiche?format=fr&amp;fiche=228","228")</f>
        <v>228</v>
      </c>
      <c r="D2291" s="4" t="str">
        <f>HYPERLINK("http://www.intercariforef.org/formations/certification-80693.html","80693")</f>
        <v>80693</v>
      </c>
      <c r="E2291" s="5">
        <v>141187</v>
      </c>
      <c r="F2291" s="5" t="s">
        <v>10</v>
      </c>
      <c r="G2291" s="5" t="s">
        <v>11</v>
      </c>
      <c r="H2291" s="3" t="s">
        <v>1889</v>
      </c>
    </row>
    <row r="2292" spans="1:8" ht="27.6" x14ac:dyDescent="0.25">
      <c r="A2292" s="3" t="s">
        <v>2677</v>
      </c>
      <c r="B2292" s="3" t="s">
        <v>2822</v>
      </c>
      <c r="C2292" s="4" t="str">
        <f>HYPERLINK("http://www.rncp.cncp.gouv.fr/grand-public/visualisationFiche?format=fr&amp;fiche=229","229")</f>
        <v>229</v>
      </c>
      <c r="D2292" s="4" t="str">
        <f>HYPERLINK("http://www.intercariforef.org/formations/certification-80694.html","80694")</f>
        <v>80694</v>
      </c>
      <c r="E2292" s="5">
        <v>141188</v>
      </c>
      <c r="F2292" s="5" t="s">
        <v>10</v>
      </c>
      <c r="G2292" s="5" t="s">
        <v>11</v>
      </c>
      <c r="H2292" s="3" t="s">
        <v>1889</v>
      </c>
    </row>
    <row r="2293" spans="1:8" ht="27.6" x14ac:dyDescent="0.25">
      <c r="A2293" s="3" t="s">
        <v>2677</v>
      </c>
      <c r="B2293" s="3" t="s">
        <v>2823</v>
      </c>
      <c r="C2293" s="4" t="str">
        <f>HYPERLINK("http://www.rncp.cncp.gouv.fr/grand-public/visualisationFiche?format=fr&amp;fiche=213","213")</f>
        <v>213</v>
      </c>
      <c r="D2293" s="4" t="str">
        <f>HYPERLINK("http://www.intercariforef.org/formations/certification-82191.html","82191")</f>
        <v>82191</v>
      </c>
      <c r="E2293" s="5">
        <v>130761</v>
      </c>
      <c r="F2293" s="5" t="s">
        <v>10</v>
      </c>
      <c r="G2293" s="5" t="s">
        <v>11</v>
      </c>
      <c r="H2293" s="3" t="s">
        <v>1889</v>
      </c>
    </row>
    <row r="2294" spans="1:8" ht="27.6" x14ac:dyDescent="0.25">
      <c r="A2294" s="3" t="s">
        <v>2677</v>
      </c>
      <c r="B2294" s="3" t="s">
        <v>2824</v>
      </c>
      <c r="C2294" s="4" t="str">
        <f>HYPERLINK("http://www.rncp.cncp.gouv.fr/grand-public/visualisationFiche?format=fr&amp;fiche=5924","5924")</f>
        <v>5924</v>
      </c>
      <c r="D2294" s="4" t="str">
        <f>HYPERLINK("http://www.intercariforef.org/formations/certification-81316.html","81316")</f>
        <v>81316</v>
      </c>
      <c r="E2294" s="5">
        <v>131931</v>
      </c>
      <c r="F2294" s="5" t="s">
        <v>10</v>
      </c>
      <c r="G2294" s="5" t="s">
        <v>11</v>
      </c>
      <c r="H2294" s="3" t="s">
        <v>1889</v>
      </c>
    </row>
    <row r="2295" spans="1:8" ht="27.6" x14ac:dyDescent="0.25">
      <c r="A2295" s="3" t="s">
        <v>2677</v>
      </c>
      <c r="B2295" s="3" t="s">
        <v>2825</v>
      </c>
      <c r="C2295" s="4" t="str">
        <f>HYPERLINK("http://www.rncp.cncp.gouv.fr/grand-public/visualisationFiche?format=fr&amp;fiche=232","232")</f>
        <v>232</v>
      </c>
      <c r="D2295" s="4" t="str">
        <f>HYPERLINK("http://www.intercariforef.org/formations/certification-24919.html","24919")</f>
        <v>24919</v>
      </c>
      <c r="E2295" s="5">
        <v>154443</v>
      </c>
      <c r="F2295" s="5" t="s">
        <v>10</v>
      </c>
      <c r="G2295" s="5" t="s">
        <v>11</v>
      </c>
      <c r="H2295" s="3" t="s">
        <v>1889</v>
      </c>
    </row>
    <row r="2296" spans="1:8" ht="27.6" x14ac:dyDescent="0.25">
      <c r="A2296" s="3" t="s">
        <v>2677</v>
      </c>
      <c r="B2296" s="3" t="s">
        <v>2826</v>
      </c>
      <c r="C2296" s="4" t="str">
        <f>HYPERLINK("http://www.rncp.cncp.gouv.fr/grand-public/visualisationFiche?format=fr&amp;fiche=278","278")</f>
        <v>278</v>
      </c>
      <c r="D2296" s="4" t="str">
        <f>HYPERLINK("http://www.intercariforef.org/formations/certification-81122.html","81122")</f>
        <v>81122</v>
      </c>
      <c r="E2296" s="5">
        <v>140387</v>
      </c>
      <c r="F2296" s="5" t="s">
        <v>10</v>
      </c>
      <c r="G2296" s="5" t="s">
        <v>11</v>
      </c>
      <c r="H2296" s="3" t="s">
        <v>1889</v>
      </c>
    </row>
    <row r="2297" spans="1:8" ht="27.6" x14ac:dyDescent="0.25">
      <c r="A2297" s="3" t="s">
        <v>2677</v>
      </c>
      <c r="B2297" s="3" t="s">
        <v>2827</v>
      </c>
      <c r="C2297" s="4" t="str">
        <f>HYPERLINK("http://www.rncp.cncp.gouv.fr/grand-public/visualisationFiche?format=fr&amp;fiche=280","280")</f>
        <v>280</v>
      </c>
      <c r="D2297" s="4" t="str">
        <f>HYPERLINK("http://www.intercariforef.org/formations/certification-24927.html","24927")</f>
        <v>24927</v>
      </c>
      <c r="E2297" s="5">
        <v>141189</v>
      </c>
      <c r="F2297" s="5" t="s">
        <v>10</v>
      </c>
      <c r="G2297" s="5" t="s">
        <v>11</v>
      </c>
      <c r="H2297" s="3" t="s">
        <v>1889</v>
      </c>
    </row>
    <row r="2298" spans="1:8" ht="27.6" x14ac:dyDescent="0.25">
      <c r="A2298" s="3" t="s">
        <v>2677</v>
      </c>
      <c r="B2298" s="3" t="s">
        <v>2828</v>
      </c>
      <c r="C2298" s="4" t="str">
        <f>HYPERLINK("http://www.rncp.cncp.gouv.fr/grand-public/visualisationFiche?format=fr&amp;fiche=2567","2567")</f>
        <v>2567</v>
      </c>
      <c r="D2298" s="4" t="str">
        <f>HYPERLINK("http://www.intercariforef.org/formations/certification-83419.html","83419")</f>
        <v>83419</v>
      </c>
      <c r="E2298" s="5">
        <v>130762</v>
      </c>
      <c r="F2298" s="5" t="s">
        <v>10</v>
      </c>
      <c r="G2298" s="5" t="s">
        <v>11</v>
      </c>
      <c r="H2298" s="3" t="s">
        <v>1889</v>
      </c>
    </row>
    <row r="2299" spans="1:8" ht="27.6" x14ac:dyDescent="0.25">
      <c r="A2299" s="3" t="s">
        <v>2677</v>
      </c>
      <c r="B2299" s="3" t="s">
        <v>2829</v>
      </c>
      <c r="C2299" s="4" t="str">
        <f>HYPERLINK("http://www.rncp.cncp.gouv.fr/grand-public/visualisationFiche?format=fr&amp;fiche=316","316")</f>
        <v>316</v>
      </c>
      <c r="D2299" s="4" t="str">
        <f>HYPERLINK("http://www.intercariforef.org/formations/certification-24935.html","24935")</f>
        <v>24935</v>
      </c>
      <c r="E2299" s="5">
        <v>131930</v>
      </c>
      <c r="F2299" s="5" t="s">
        <v>10</v>
      </c>
      <c r="G2299" s="5" t="s">
        <v>11</v>
      </c>
      <c r="H2299" s="3" t="s">
        <v>1889</v>
      </c>
    </row>
    <row r="2300" spans="1:8" ht="27.6" x14ac:dyDescent="0.25">
      <c r="A2300" s="3" t="s">
        <v>2677</v>
      </c>
      <c r="B2300" s="3" t="s">
        <v>2830</v>
      </c>
      <c r="C2300" s="4" t="str">
        <f>HYPERLINK("http://www.rncp.cncp.gouv.fr/grand-public/visualisationFiche?format=fr&amp;fiche=1942","1942")</f>
        <v>1942</v>
      </c>
      <c r="D2300" s="4" t="str">
        <f>HYPERLINK("http://www.intercariforef.org/formations/certification-82181.html","82181")</f>
        <v>82181</v>
      </c>
      <c r="E2300" s="5">
        <v>141186</v>
      </c>
      <c r="F2300" s="5" t="s">
        <v>10</v>
      </c>
      <c r="G2300" s="5" t="s">
        <v>11</v>
      </c>
      <c r="H2300" s="3" t="s">
        <v>1889</v>
      </c>
    </row>
    <row r="2301" spans="1:8" ht="27.6" x14ac:dyDescent="0.25">
      <c r="A2301" s="3" t="s">
        <v>2677</v>
      </c>
      <c r="B2301" s="3" t="s">
        <v>2831</v>
      </c>
      <c r="C2301" s="4" t="str">
        <f>HYPERLINK("http://www.rncp.cncp.gouv.fr/grand-public/visualisationFiche?format=fr&amp;fiche=1852","1852")</f>
        <v>1852</v>
      </c>
      <c r="D2301" s="4" t="str">
        <f>HYPERLINK("http://www.intercariforef.org/formations/certification-81440.html","81440")</f>
        <v>81440</v>
      </c>
      <c r="E2301" s="5">
        <v>2098</v>
      </c>
      <c r="F2301" s="5" t="s">
        <v>10</v>
      </c>
      <c r="G2301" s="5" t="s">
        <v>11</v>
      </c>
      <c r="H2301" s="3" t="s">
        <v>1889</v>
      </c>
    </row>
    <row r="2302" spans="1:8" ht="27.6" x14ac:dyDescent="0.25">
      <c r="A2302" s="3" t="s">
        <v>2677</v>
      </c>
      <c r="B2302" s="3" t="s">
        <v>2832</v>
      </c>
      <c r="C2302" s="4" t="str">
        <f>HYPERLINK("http://www.rncp.cncp.gouv.fr/grand-public/visualisationFiche?format=fr&amp;fiche=407","407")</f>
        <v>407</v>
      </c>
      <c r="D2302" s="4" t="str">
        <f>HYPERLINK("http://www.intercariforef.org/formations/certification-24989.html","24989")</f>
        <v>24989</v>
      </c>
      <c r="E2302" s="5">
        <v>130763</v>
      </c>
      <c r="F2302" s="5" t="s">
        <v>10</v>
      </c>
      <c r="G2302" s="5" t="s">
        <v>11</v>
      </c>
      <c r="H2302" s="3" t="s">
        <v>1889</v>
      </c>
    </row>
    <row r="2303" spans="1:8" ht="27.6" x14ac:dyDescent="0.25">
      <c r="A2303" s="3" t="s">
        <v>2677</v>
      </c>
      <c r="B2303" s="3" t="s">
        <v>2833</v>
      </c>
      <c r="C2303" s="4" t="str">
        <f>HYPERLINK("http://www.rncp.cncp.gouv.fr/grand-public/visualisationFiche?format=fr&amp;fiche=310","310")</f>
        <v>310</v>
      </c>
      <c r="D2303" s="4" t="str">
        <f>HYPERLINK("http://www.intercariforef.org/formations/certification-24990.html","24990")</f>
        <v>24990</v>
      </c>
      <c r="E2303" s="5">
        <v>2103</v>
      </c>
      <c r="F2303" s="5" t="s">
        <v>10</v>
      </c>
      <c r="G2303" s="5" t="s">
        <v>11</v>
      </c>
      <c r="H2303" s="3" t="s">
        <v>1889</v>
      </c>
    </row>
    <row r="2304" spans="1:8" ht="27.6" x14ac:dyDescent="0.25">
      <c r="A2304" s="3" t="s">
        <v>2677</v>
      </c>
      <c r="B2304" s="3" t="s">
        <v>2834</v>
      </c>
      <c r="C2304" s="4" t="str">
        <f>HYPERLINK("http://www.rncp.cncp.gouv.fr/grand-public/visualisationFiche?format=fr&amp;fiche=310","310")</f>
        <v>310</v>
      </c>
      <c r="D2304" s="4" t="str">
        <f>HYPERLINK("http://www.intercariforef.org/formations/certification-84242.html","84242")</f>
        <v>84242</v>
      </c>
      <c r="E2304" s="5">
        <v>141162</v>
      </c>
      <c r="F2304" s="5" t="s">
        <v>10</v>
      </c>
      <c r="G2304" s="5" t="s">
        <v>11</v>
      </c>
      <c r="H2304" s="3" t="s">
        <v>1889</v>
      </c>
    </row>
    <row r="2305" spans="1:8" ht="27.6" x14ac:dyDescent="0.25">
      <c r="A2305" s="3" t="s">
        <v>2677</v>
      </c>
      <c r="B2305" s="3" t="s">
        <v>2835</v>
      </c>
      <c r="C2305" s="4" t="str">
        <f>HYPERLINK("http://www.rncp.cncp.gouv.fr/grand-public/visualisationFiche?format=fr&amp;fiche=437","437")</f>
        <v>437</v>
      </c>
      <c r="D2305" s="4" t="str">
        <f>HYPERLINK("http://www.intercariforef.org/formations/certification-24991.html","24991")</f>
        <v>24991</v>
      </c>
      <c r="E2305" s="5">
        <v>130764</v>
      </c>
      <c r="F2305" s="5" t="s">
        <v>10</v>
      </c>
      <c r="G2305" s="5" t="s">
        <v>11</v>
      </c>
      <c r="H2305" s="3" t="s">
        <v>1889</v>
      </c>
    </row>
    <row r="2306" spans="1:8" ht="27.6" x14ac:dyDescent="0.25">
      <c r="A2306" s="3" t="s">
        <v>2677</v>
      </c>
      <c r="B2306" s="3" t="s">
        <v>2836</v>
      </c>
      <c r="C2306" s="4" t="str">
        <f>HYPERLINK("http://www.rncp.cncp.gouv.fr/grand-public/visualisationFiche?format=fr&amp;fiche=12495","12495")</f>
        <v>12495</v>
      </c>
      <c r="D2306" s="4" t="str">
        <f>HYPERLINK("http://www.intercariforef.org/formations/certification-74728.html","74728")</f>
        <v>74728</v>
      </c>
      <c r="E2306" s="5">
        <v>130765</v>
      </c>
      <c r="F2306" s="5" t="s">
        <v>10</v>
      </c>
      <c r="G2306" s="5" t="s">
        <v>11</v>
      </c>
      <c r="H2306" s="3" t="s">
        <v>1889</v>
      </c>
    </row>
    <row r="2307" spans="1:8" ht="27.6" x14ac:dyDescent="0.25">
      <c r="A2307" s="3" t="s">
        <v>2677</v>
      </c>
      <c r="B2307" s="3" t="s">
        <v>2837</v>
      </c>
      <c r="C2307" s="4" t="str">
        <f>HYPERLINK("http://www.rncp.cncp.gouv.fr/grand-public/visualisationFiche?format=fr&amp;fiche=4520","4520")</f>
        <v>4520</v>
      </c>
      <c r="D2307" s="4" t="str">
        <f>HYPERLINK("http://www.intercariforef.org/formations/certification-53060.html","53060")</f>
        <v>53060</v>
      </c>
      <c r="E2307" s="5">
        <v>130766</v>
      </c>
      <c r="F2307" s="5" t="s">
        <v>10</v>
      </c>
      <c r="G2307" s="5" t="s">
        <v>11</v>
      </c>
      <c r="H2307" s="3" t="s">
        <v>1889</v>
      </c>
    </row>
    <row r="2308" spans="1:8" ht="27.6" x14ac:dyDescent="0.25">
      <c r="A2308" s="3" t="s">
        <v>2677</v>
      </c>
      <c r="B2308" s="3" t="s">
        <v>2838</v>
      </c>
      <c r="C2308" s="4" t="str">
        <f>HYPERLINK("http://www.rncp.cncp.gouv.fr/grand-public/visualisationFiche?format=fr&amp;fiche=4846","4846")</f>
        <v>4846</v>
      </c>
      <c r="D2308" s="4" t="str">
        <f>HYPERLINK("http://www.intercariforef.org/formations/certification-83333.html","83333")</f>
        <v>83333</v>
      </c>
      <c r="E2308" s="5">
        <v>130767</v>
      </c>
      <c r="F2308" s="5" t="s">
        <v>10</v>
      </c>
      <c r="G2308" s="5" t="s">
        <v>11</v>
      </c>
      <c r="H2308" s="3" t="s">
        <v>1889</v>
      </c>
    </row>
    <row r="2309" spans="1:8" ht="27.6" x14ac:dyDescent="0.25">
      <c r="A2309" s="3" t="s">
        <v>2677</v>
      </c>
      <c r="B2309" s="3" t="s">
        <v>2839</v>
      </c>
      <c r="C2309" s="4" t="str">
        <f>HYPERLINK("http://www.rncp.cncp.gouv.fr/grand-public/visualisationFiche?format=fr&amp;fiche=2388","2388")</f>
        <v>2388</v>
      </c>
      <c r="D2309" s="4" t="str">
        <f>HYPERLINK("http://www.intercariforef.org/formations/certification-83331.html","83331")</f>
        <v>83331</v>
      </c>
      <c r="E2309" s="5">
        <v>130768</v>
      </c>
      <c r="F2309" s="5" t="s">
        <v>10</v>
      </c>
      <c r="G2309" s="5" t="s">
        <v>11</v>
      </c>
      <c r="H2309" s="3" t="s">
        <v>1889</v>
      </c>
    </row>
    <row r="2310" spans="1:8" ht="27.6" x14ac:dyDescent="0.25">
      <c r="A2310" s="3" t="s">
        <v>2677</v>
      </c>
      <c r="B2310" s="3" t="s">
        <v>2840</v>
      </c>
      <c r="C2310" s="4" t="str">
        <f>HYPERLINK("http://www.rncp.cncp.gouv.fr/grand-public/visualisationFiche?format=fr&amp;fiche=6226","6226")</f>
        <v>6226</v>
      </c>
      <c r="D2310" s="4" t="str">
        <f>HYPERLINK("http://www.intercariforef.org/formations/certification-81762.html","81762")</f>
        <v>81762</v>
      </c>
      <c r="E2310" s="5">
        <v>141190</v>
      </c>
      <c r="F2310" s="5" t="s">
        <v>10</v>
      </c>
      <c r="G2310" s="5" t="s">
        <v>11</v>
      </c>
      <c r="H2310" s="3" t="s">
        <v>1889</v>
      </c>
    </row>
    <row r="2311" spans="1:8" ht="27.6" x14ac:dyDescent="0.25">
      <c r="A2311" s="3" t="s">
        <v>2677</v>
      </c>
      <c r="B2311" s="3" t="s">
        <v>2841</v>
      </c>
      <c r="C2311" s="4" t="str">
        <f>HYPERLINK("http://www.rncp.cncp.gouv.fr/grand-public/visualisationFiche?format=fr&amp;fiche=4847","4847")</f>
        <v>4847</v>
      </c>
      <c r="D2311" s="4" t="str">
        <f>HYPERLINK("http://www.intercariforef.org/formations/certification-83332.html","83332")</f>
        <v>83332</v>
      </c>
      <c r="E2311" s="5">
        <v>130769</v>
      </c>
      <c r="F2311" s="5" t="s">
        <v>10</v>
      </c>
      <c r="G2311" s="5" t="s">
        <v>11</v>
      </c>
      <c r="H2311" s="3" t="s">
        <v>1889</v>
      </c>
    </row>
    <row r="2312" spans="1:8" ht="27.6" x14ac:dyDescent="0.25">
      <c r="A2312" s="3" t="s">
        <v>2677</v>
      </c>
      <c r="B2312" s="3" t="s">
        <v>2842</v>
      </c>
      <c r="C2312" s="4" t="str">
        <f>HYPERLINK("http://www.rncp.cncp.gouv.fr/grand-public/visualisationFiche?format=fr&amp;fiche=184","184")</f>
        <v>184</v>
      </c>
      <c r="D2312" s="4" t="str">
        <f>HYPERLINK("http://www.intercariforef.org/formations/certification-25038.html","25038")</f>
        <v>25038</v>
      </c>
      <c r="E2312" s="5">
        <v>141256</v>
      </c>
      <c r="F2312" s="5" t="s">
        <v>10</v>
      </c>
      <c r="G2312" s="5" t="s">
        <v>11</v>
      </c>
      <c r="H2312" s="3" t="s">
        <v>1889</v>
      </c>
    </row>
    <row r="2313" spans="1:8" ht="27.6" x14ac:dyDescent="0.25">
      <c r="A2313" s="3" t="s">
        <v>2677</v>
      </c>
      <c r="B2313" s="3" t="s">
        <v>2843</v>
      </c>
      <c r="C2313" s="4" t="str">
        <f>HYPERLINK("http://www.rncp.cncp.gouv.fr/grand-public/visualisationFiche?format=fr&amp;fiche=1884","1884")</f>
        <v>1884</v>
      </c>
      <c r="D2313" s="4" t="str">
        <f>HYPERLINK("http://www.intercariforef.org/formations/certification-25039.html","25039")</f>
        <v>25039</v>
      </c>
      <c r="E2313" s="5">
        <v>2095</v>
      </c>
      <c r="F2313" s="5" t="s">
        <v>10</v>
      </c>
      <c r="G2313" s="5" t="s">
        <v>11</v>
      </c>
      <c r="H2313" s="3" t="s">
        <v>1889</v>
      </c>
    </row>
    <row r="2314" spans="1:8" ht="27.6" x14ac:dyDescent="0.25">
      <c r="A2314" s="3" t="s">
        <v>2677</v>
      </c>
      <c r="B2314" s="3" t="s">
        <v>2844</v>
      </c>
      <c r="C2314" s="4" t="str">
        <f>HYPERLINK("http://www.rncp.cncp.gouv.fr/grand-public/visualisationFiche?format=fr&amp;fiche=1883","1883")</f>
        <v>1883</v>
      </c>
      <c r="D2314" s="4" t="str">
        <f>HYPERLINK("http://www.intercariforef.org/formations/certification-25050.html","25050")</f>
        <v>25050</v>
      </c>
      <c r="E2314" s="5">
        <v>2096</v>
      </c>
      <c r="F2314" s="5" t="s">
        <v>10</v>
      </c>
      <c r="G2314" s="5" t="s">
        <v>11</v>
      </c>
      <c r="H2314" s="3" t="s">
        <v>1889</v>
      </c>
    </row>
    <row r="2315" spans="1:8" ht="27.6" x14ac:dyDescent="0.25">
      <c r="A2315" s="3" t="s">
        <v>2677</v>
      </c>
      <c r="B2315" s="3" t="s">
        <v>2845</v>
      </c>
      <c r="C2315" s="4" t="str">
        <f>HYPERLINK("http://www.rncp.cncp.gouv.fr/grand-public/visualisationFiche?format=fr&amp;fiche=1888","1888")</f>
        <v>1888</v>
      </c>
      <c r="D2315" s="4" t="str">
        <f>HYPERLINK("http://www.intercariforef.org/formations/certification-81023.html","81023")</f>
        <v>81023</v>
      </c>
      <c r="E2315" s="5">
        <v>127481</v>
      </c>
      <c r="F2315" s="5" t="s">
        <v>10</v>
      </c>
      <c r="G2315" s="5" t="s">
        <v>11</v>
      </c>
      <c r="H2315" s="3" t="s">
        <v>1889</v>
      </c>
    </row>
    <row r="2316" spans="1:8" ht="27.6" x14ac:dyDescent="0.25">
      <c r="A2316" s="3" t="s">
        <v>2677</v>
      </c>
      <c r="B2316" s="3" t="s">
        <v>2846</v>
      </c>
      <c r="C2316" s="4" t="str">
        <f>HYPERLINK("http://www.rncp.cncp.gouv.fr/grand-public/visualisationFiche?format=fr&amp;fiche=2565","2565")</f>
        <v>2565</v>
      </c>
      <c r="D2316" s="4" t="str">
        <f>HYPERLINK("http://www.intercariforef.org/formations/certification-25049.html","25049")</f>
        <v>25049</v>
      </c>
      <c r="E2316" s="5">
        <v>2097</v>
      </c>
      <c r="F2316" s="5" t="s">
        <v>10</v>
      </c>
      <c r="G2316" s="5" t="s">
        <v>11</v>
      </c>
      <c r="H2316" s="3" t="s">
        <v>1889</v>
      </c>
    </row>
    <row r="2317" spans="1:8" ht="27.6" x14ac:dyDescent="0.25">
      <c r="A2317" s="3" t="s">
        <v>2677</v>
      </c>
      <c r="B2317" s="3" t="s">
        <v>2847</v>
      </c>
      <c r="C2317" s="4" t="str">
        <f>HYPERLINK("http://www.rncp.cncp.gouv.fr/grand-public/visualisationFiche?format=fr&amp;fiche=391","391")</f>
        <v>391</v>
      </c>
      <c r="D2317" s="4" t="str">
        <f>HYPERLINK("http://www.intercariforef.org/formations/certification-81195.html","81195")</f>
        <v>81195</v>
      </c>
      <c r="E2317" s="5">
        <v>130770</v>
      </c>
      <c r="F2317" s="5" t="s">
        <v>10</v>
      </c>
      <c r="G2317" s="5" t="s">
        <v>11</v>
      </c>
      <c r="H2317" s="3" t="s">
        <v>1889</v>
      </c>
    </row>
    <row r="2318" spans="1:8" ht="27.6" x14ac:dyDescent="0.25">
      <c r="A2318" s="3" t="s">
        <v>2677</v>
      </c>
      <c r="B2318" s="3" t="s">
        <v>2848</v>
      </c>
      <c r="C2318" s="4" t="str">
        <f>HYPERLINK("http://www.rncp.cncp.gouv.fr/grand-public/visualisationFiche?format=fr&amp;fiche=6632","6632")</f>
        <v>6632</v>
      </c>
      <c r="D2318" s="4" t="str">
        <f>HYPERLINK("http://www.intercariforef.org/formations/certification-81760.html","81760")</f>
        <v>81760</v>
      </c>
      <c r="E2318" s="5">
        <v>141170</v>
      </c>
      <c r="F2318" s="5" t="s">
        <v>10</v>
      </c>
      <c r="G2318" s="5" t="s">
        <v>11</v>
      </c>
      <c r="H2318" s="3" t="s">
        <v>1889</v>
      </c>
    </row>
    <row r="2319" spans="1:8" ht="27.6" x14ac:dyDescent="0.25">
      <c r="A2319" s="3" t="s">
        <v>2677</v>
      </c>
      <c r="B2319" s="3" t="s">
        <v>2849</v>
      </c>
      <c r="C2319" s="4" t="str">
        <f>HYPERLINK("http://www.rncp.cncp.gouv.fr/grand-public/visualisationFiche?format=fr&amp;fiche=1798","1798")</f>
        <v>1798</v>
      </c>
      <c r="D2319" s="4" t="str">
        <f>HYPERLINK("http://www.intercariforef.org/formations/certification-25063.html","25063")</f>
        <v>25063</v>
      </c>
      <c r="E2319" s="5">
        <v>130771</v>
      </c>
      <c r="F2319" s="5" t="s">
        <v>10</v>
      </c>
      <c r="G2319" s="5" t="s">
        <v>11</v>
      </c>
      <c r="H2319" s="3" t="s">
        <v>1889</v>
      </c>
    </row>
    <row r="2320" spans="1:8" ht="27.6" x14ac:dyDescent="0.25">
      <c r="A2320" s="3" t="s">
        <v>2677</v>
      </c>
      <c r="B2320" s="3" t="s">
        <v>2850</v>
      </c>
      <c r="C2320" s="4" t="str">
        <f>HYPERLINK("http://www.rncp.cncp.gouv.fr/grand-public/visualisationFiche?format=fr&amp;fiche=1891","1891")</f>
        <v>1891</v>
      </c>
      <c r="D2320" s="4" t="str">
        <f>HYPERLINK("http://www.intercariforef.org/formations/certification-82180.html","82180")</f>
        <v>82180</v>
      </c>
      <c r="E2320" s="5">
        <v>141191</v>
      </c>
      <c r="F2320" s="5" t="s">
        <v>10</v>
      </c>
      <c r="G2320" s="5" t="s">
        <v>11</v>
      </c>
      <c r="H2320" s="3" t="s">
        <v>1889</v>
      </c>
    </row>
    <row r="2321" spans="1:8" ht="27.6" x14ac:dyDescent="0.25">
      <c r="A2321" s="3" t="s">
        <v>2677</v>
      </c>
      <c r="B2321" s="3" t="s">
        <v>2851</v>
      </c>
      <c r="C2321" s="4" t="str">
        <f>HYPERLINK("http://www.rncp.cncp.gouv.fr/grand-public/visualisationFiche?format=fr&amp;fiche=18781","18781")</f>
        <v>18781</v>
      </c>
      <c r="D2321" s="4" t="str">
        <f>HYPERLINK("http://www.intercariforef.org/formations/certification-82707.html","82707")</f>
        <v>82707</v>
      </c>
      <c r="E2321" s="5">
        <v>2100</v>
      </c>
      <c r="F2321" s="5" t="s">
        <v>10</v>
      </c>
      <c r="G2321" s="5" t="s">
        <v>11</v>
      </c>
      <c r="H2321" s="3" t="s">
        <v>1889</v>
      </c>
    </row>
    <row r="2322" spans="1:8" ht="27.6" x14ac:dyDescent="0.25">
      <c r="A2322" s="3" t="s">
        <v>2677</v>
      </c>
      <c r="B2322" s="3" t="s">
        <v>2852</v>
      </c>
      <c r="C2322" s="4" t="str">
        <f>HYPERLINK("http://www.rncp.cncp.gouv.fr/grand-public/visualisationFiche?format=fr&amp;fiche=18479","18479")</f>
        <v>18479</v>
      </c>
      <c r="D2322" s="4" t="str">
        <f>HYPERLINK("http://www.intercariforef.org/formations/certification-82667.html","82667")</f>
        <v>82667</v>
      </c>
      <c r="E2322" s="5">
        <v>130808</v>
      </c>
      <c r="F2322" s="5" t="s">
        <v>10</v>
      </c>
      <c r="G2322" s="5" t="s">
        <v>11</v>
      </c>
      <c r="H2322" s="3" t="s">
        <v>1889</v>
      </c>
    </row>
    <row r="2323" spans="1:8" ht="27.6" x14ac:dyDescent="0.25">
      <c r="A2323" s="3" t="s">
        <v>2677</v>
      </c>
      <c r="B2323" s="3" t="s">
        <v>2853</v>
      </c>
      <c r="C2323" s="4" t="str">
        <f>HYPERLINK("http://www.rncp.cncp.gouv.fr/grand-public/visualisationFiche?format=fr&amp;fiche=6519","6519")</f>
        <v>6519</v>
      </c>
      <c r="D2323" s="4" t="str">
        <f>HYPERLINK("http://www.intercariforef.org/formations/certification-82458.html","82458")</f>
        <v>82458</v>
      </c>
      <c r="E2323" s="5">
        <v>130772</v>
      </c>
      <c r="F2323" s="5" t="s">
        <v>10</v>
      </c>
      <c r="G2323" s="5" t="s">
        <v>11</v>
      </c>
      <c r="H2323" s="3" t="s">
        <v>1889</v>
      </c>
    </row>
    <row r="2324" spans="1:8" ht="27.6" x14ac:dyDescent="0.25">
      <c r="A2324" s="3" t="s">
        <v>2677</v>
      </c>
      <c r="B2324" s="3" t="s">
        <v>2854</v>
      </c>
      <c r="C2324" s="4" t="str">
        <f>HYPERLINK("http://www.rncp.cncp.gouv.fr/grand-public/visualisationFiche?format=fr&amp;fiche=305","305")</f>
        <v>305</v>
      </c>
      <c r="D2324" s="4" t="str">
        <f>HYPERLINK("http://www.intercariforef.org/formations/certification-25075.html","25075")</f>
        <v>25075</v>
      </c>
      <c r="E2324" s="5">
        <v>131932</v>
      </c>
      <c r="F2324" s="5" t="s">
        <v>10</v>
      </c>
      <c r="G2324" s="5" t="s">
        <v>11</v>
      </c>
      <c r="H2324" s="3" t="s">
        <v>1889</v>
      </c>
    </row>
    <row r="2325" spans="1:8" ht="27.6" x14ac:dyDescent="0.25">
      <c r="A2325" s="3" t="s">
        <v>2677</v>
      </c>
      <c r="B2325" s="3" t="s">
        <v>2855</v>
      </c>
      <c r="C2325" s="4" t="str">
        <f>HYPERLINK("http://www.rncp.cncp.gouv.fr/grand-public/visualisationFiche?format=fr&amp;fiche=5919","5919")</f>
        <v>5919</v>
      </c>
      <c r="D2325" s="4" t="str">
        <f>HYPERLINK("http://www.intercariforef.org/formations/certification-80752.html","80752")</f>
        <v>80752</v>
      </c>
      <c r="E2325" s="5">
        <v>2089</v>
      </c>
      <c r="F2325" s="5" t="s">
        <v>10</v>
      </c>
      <c r="G2325" s="5" t="s">
        <v>11</v>
      </c>
      <c r="H2325" s="3" t="s">
        <v>1889</v>
      </c>
    </row>
    <row r="2326" spans="1:8" ht="27.6" x14ac:dyDescent="0.25">
      <c r="A2326" s="3" t="s">
        <v>2677</v>
      </c>
      <c r="B2326" s="3" t="s">
        <v>2856</v>
      </c>
      <c r="C2326" s="4" t="str">
        <f>HYPERLINK("http://www.rncp.cncp.gouv.fr/grand-public/visualisationFiche?format=fr&amp;fiche=17791","17791")</f>
        <v>17791</v>
      </c>
      <c r="D2326" s="4" t="str">
        <f>HYPERLINK("http://www.intercariforef.org/formations/certification-81492.html","81492")</f>
        <v>81492</v>
      </c>
      <c r="E2326" s="5">
        <v>2104</v>
      </c>
      <c r="F2326" s="5" t="s">
        <v>10</v>
      </c>
      <c r="G2326" s="5" t="s">
        <v>11</v>
      </c>
      <c r="H2326" s="3" t="s">
        <v>1889</v>
      </c>
    </row>
    <row r="2327" spans="1:8" ht="27.6" x14ac:dyDescent="0.25">
      <c r="A2327" s="3" t="s">
        <v>2677</v>
      </c>
      <c r="B2327" s="3" t="s">
        <v>2857</v>
      </c>
      <c r="C2327" s="4" t="str">
        <f>HYPERLINK("http://www.rncp.cncp.gouv.fr/grand-public/visualisationFiche?format=fr&amp;fiche=8812","8812")</f>
        <v>8812</v>
      </c>
      <c r="D2327" s="4" t="str">
        <f>HYPERLINK("http://www.intercariforef.org/formations/certification-83079.html","83079")</f>
        <v>83079</v>
      </c>
      <c r="E2327" s="5">
        <v>2105</v>
      </c>
      <c r="F2327" s="5" t="s">
        <v>10</v>
      </c>
      <c r="G2327" s="5" t="s">
        <v>11</v>
      </c>
      <c r="H2327" s="3" t="s">
        <v>1889</v>
      </c>
    </row>
    <row r="2328" spans="1:8" ht="27.6" x14ac:dyDescent="0.25">
      <c r="A2328" s="3" t="s">
        <v>2677</v>
      </c>
      <c r="B2328" s="3" t="s">
        <v>2857</v>
      </c>
      <c r="C2328" s="5"/>
      <c r="D2328" s="4" t="str">
        <f>HYPERLINK("http://www.intercariforef.org/formations/certification-65920.html","65920")</f>
        <v>65920</v>
      </c>
      <c r="E2328" s="5">
        <v>2090</v>
      </c>
      <c r="F2328" s="5" t="s">
        <v>10</v>
      </c>
      <c r="G2328" s="5" t="s">
        <v>11</v>
      </c>
      <c r="H2328" s="3" t="s">
        <v>1889</v>
      </c>
    </row>
    <row r="2329" spans="1:8" ht="27.6" x14ac:dyDescent="0.25">
      <c r="A2329" s="3" t="s">
        <v>2677</v>
      </c>
      <c r="B2329" s="3" t="s">
        <v>2858</v>
      </c>
      <c r="C2329" s="4" t="str">
        <f>HYPERLINK("http://www.rncp.cncp.gouv.fr/grand-public/visualisationFiche?format=fr&amp;fiche=406","406")</f>
        <v>406</v>
      </c>
      <c r="D2329" s="4" t="str">
        <f>HYPERLINK("http://www.intercariforef.org/formations/certification-25082.html","25082")</f>
        <v>25082</v>
      </c>
      <c r="E2329" s="5">
        <v>130773</v>
      </c>
      <c r="F2329" s="5" t="s">
        <v>10</v>
      </c>
      <c r="G2329" s="5" t="s">
        <v>11</v>
      </c>
      <c r="H2329" s="3" t="s">
        <v>1889</v>
      </c>
    </row>
    <row r="2330" spans="1:8" ht="27.6" x14ac:dyDescent="0.25">
      <c r="A2330" s="3" t="s">
        <v>2677</v>
      </c>
      <c r="B2330" s="3" t="s">
        <v>2859</v>
      </c>
      <c r="C2330" s="4" t="str">
        <f>HYPERLINK("http://www.rncp.cncp.gouv.fr/grand-public/visualisationFiche?format=fr&amp;fiche=4964","4964")</f>
        <v>4964</v>
      </c>
      <c r="D2330" s="4" t="str">
        <f>HYPERLINK("http://www.intercariforef.org/formations/certification-53658.html","53658")</f>
        <v>53658</v>
      </c>
      <c r="E2330" s="5">
        <v>140153</v>
      </c>
      <c r="F2330" s="5" t="s">
        <v>10</v>
      </c>
      <c r="G2330" s="5" t="s">
        <v>11</v>
      </c>
      <c r="H2330" s="3" t="s">
        <v>1889</v>
      </c>
    </row>
    <row r="2331" spans="1:8" ht="27.6" x14ac:dyDescent="0.25">
      <c r="A2331" s="3" t="s">
        <v>2677</v>
      </c>
      <c r="B2331" s="3" t="s">
        <v>2860</v>
      </c>
      <c r="C2331" s="4" t="str">
        <f>HYPERLINK("http://www.rncp.cncp.gouv.fr/grand-public/visualisationFiche?format=fr&amp;fiche=1804","1804")</f>
        <v>1804</v>
      </c>
      <c r="D2331" s="4" t="str">
        <f>HYPERLINK("http://www.intercariforef.org/formations/certification-81021.html","81021")</f>
        <v>81021</v>
      </c>
      <c r="E2331" s="5">
        <v>130774</v>
      </c>
      <c r="F2331" s="5" t="s">
        <v>10</v>
      </c>
      <c r="G2331" s="5" t="s">
        <v>11</v>
      </c>
      <c r="H2331" s="3" t="s">
        <v>1889</v>
      </c>
    </row>
    <row r="2332" spans="1:8" ht="27.6" x14ac:dyDescent="0.25">
      <c r="A2332" s="3" t="s">
        <v>2677</v>
      </c>
      <c r="B2332" s="3" t="s">
        <v>2861</v>
      </c>
      <c r="C2332" s="4" t="str">
        <f>HYPERLINK("http://www.rncp.cncp.gouv.fr/grand-public/visualisationFiche?format=fr&amp;fiche=1264","1264")</f>
        <v>1264</v>
      </c>
      <c r="D2332" s="4" t="str">
        <f>HYPERLINK("http://www.intercariforef.org/formations/certification-81321.html","81321")</f>
        <v>81321</v>
      </c>
      <c r="E2332" s="5">
        <v>130775</v>
      </c>
      <c r="F2332" s="5" t="s">
        <v>10</v>
      </c>
      <c r="G2332" s="5" t="s">
        <v>11</v>
      </c>
      <c r="H2332" s="3" t="s">
        <v>1889</v>
      </c>
    </row>
    <row r="2333" spans="1:8" ht="27.6" x14ac:dyDescent="0.25">
      <c r="A2333" s="3" t="s">
        <v>2677</v>
      </c>
      <c r="B2333" s="3" t="s">
        <v>2862</v>
      </c>
      <c r="C2333" s="4" t="str">
        <f>HYPERLINK("http://www.rncp.cncp.gouv.fr/grand-public/visualisationFiche?format=fr&amp;fiche=11067","11067")</f>
        <v>11067</v>
      </c>
      <c r="D2333" s="4" t="str">
        <f>HYPERLINK("http://www.intercariforef.org/formations/certification-72413.html","72413")</f>
        <v>72413</v>
      </c>
      <c r="E2333" s="5">
        <v>130950</v>
      </c>
      <c r="F2333" s="5" t="s">
        <v>10</v>
      </c>
      <c r="G2333" s="5" t="s">
        <v>11</v>
      </c>
      <c r="H2333" s="3" t="s">
        <v>1889</v>
      </c>
    </row>
    <row r="2334" spans="1:8" ht="27.6" x14ac:dyDescent="0.25">
      <c r="A2334" s="3" t="s">
        <v>2677</v>
      </c>
      <c r="B2334" s="3" t="s">
        <v>2863</v>
      </c>
      <c r="C2334" s="4" t="str">
        <f>HYPERLINK("http://www.rncp.cncp.gouv.fr/grand-public/visualisationFiche?format=fr&amp;fiche=1805","1805")</f>
        <v>1805</v>
      </c>
      <c r="D2334" s="4" t="str">
        <f>HYPERLINK("http://www.intercariforef.org/formations/certification-25108.html","25108")</f>
        <v>25108</v>
      </c>
      <c r="E2334" s="5">
        <v>130776</v>
      </c>
      <c r="F2334" s="5" t="s">
        <v>10</v>
      </c>
      <c r="G2334" s="5" t="s">
        <v>11</v>
      </c>
      <c r="H2334" s="3" t="s">
        <v>1889</v>
      </c>
    </row>
    <row r="2335" spans="1:8" ht="27.6" x14ac:dyDescent="0.25">
      <c r="A2335" s="3" t="s">
        <v>2677</v>
      </c>
      <c r="B2335" s="3" t="s">
        <v>2864</v>
      </c>
      <c r="C2335" s="4" t="str">
        <f>HYPERLINK("http://www.rncp.cncp.gouv.fr/grand-public/visualisationFiche?format=fr&amp;fiche=435","435")</f>
        <v>435</v>
      </c>
      <c r="D2335" s="4" t="str">
        <f>HYPERLINK("http://www.intercariforef.org/formations/certification-25109.html","25109")</f>
        <v>25109</v>
      </c>
      <c r="E2335" s="5">
        <v>130777</v>
      </c>
      <c r="F2335" s="5" t="s">
        <v>10</v>
      </c>
      <c r="G2335" s="5" t="s">
        <v>11</v>
      </c>
      <c r="H2335" s="3" t="s">
        <v>1889</v>
      </c>
    </row>
    <row r="2336" spans="1:8" ht="27.6" x14ac:dyDescent="0.25">
      <c r="A2336" s="3" t="s">
        <v>2677</v>
      </c>
      <c r="B2336" s="3" t="s">
        <v>2865</v>
      </c>
      <c r="C2336" s="4" t="str">
        <f>HYPERLINK("http://www.rncp.cncp.gouv.fr/grand-public/visualisationFiche?format=fr&amp;fiche=4250","4250")</f>
        <v>4250</v>
      </c>
      <c r="D2336" s="4" t="str">
        <f>HYPERLINK("http://www.intercariforef.org/formations/certification-49806.html","49806")</f>
        <v>49806</v>
      </c>
      <c r="E2336" s="5">
        <v>130778</v>
      </c>
      <c r="F2336" s="5" t="s">
        <v>10</v>
      </c>
      <c r="G2336" s="5" t="s">
        <v>11</v>
      </c>
      <c r="H2336" s="3" t="s">
        <v>1889</v>
      </c>
    </row>
    <row r="2337" spans="1:8" ht="27.6" x14ac:dyDescent="0.25">
      <c r="A2337" s="3" t="s">
        <v>2677</v>
      </c>
      <c r="B2337" s="3" t="s">
        <v>2866</v>
      </c>
      <c r="C2337" s="4" t="str">
        <f>HYPERLINK("http://www.rncp.cncp.gouv.fr/grand-public/visualisationFiche?format=fr&amp;fiche=4519","4519")</f>
        <v>4519</v>
      </c>
      <c r="D2337" s="4" t="str">
        <f>HYPERLINK("http://www.intercariforef.org/formations/certification-78597.html","78597")</f>
        <v>78597</v>
      </c>
      <c r="E2337" s="5">
        <v>2094</v>
      </c>
      <c r="F2337" s="5" t="s">
        <v>10</v>
      </c>
      <c r="G2337" s="5" t="s">
        <v>11</v>
      </c>
      <c r="H2337" s="3" t="s">
        <v>1889</v>
      </c>
    </row>
    <row r="2338" spans="1:8" ht="27.6" x14ac:dyDescent="0.25">
      <c r="A2338" s="3" t="s">
        <v>2677</v>
      </c>
      <c r="B2338" s="3" t="s">
        <v>2867</v>
      </c>
      <c r="C2338" s="4" t="str">
        <f>HYPERLINK("http://www.rncp.cncp.gouv.fr/grand-public/visualisationFiche?format=fr&amp;fiche=13888","13888")</f>
        <v>13888</v>
      </c>
      <c r="D2338" s="4" t="str">
        <f>HYPERLINK("http://www.intercariforef.org/formations/certification-77206.html","77206")</f>
        <v>77206</v>
      </c>
      <c r="E2338" s="5">
        <v>2092</v>
      </c>
      <c r="F2338" s="5" t="s">
        <v>10</v>
      </c>
      <c r="G2338" s="5" t="s">
        <v>11</v>
      </c>
      <c r="H2338" s="3" t="s">
        <v>1889</v>
      </c>
    </row>
    <row r="2339" spans="1:8" ht="27.6" x14ac:dyDescent="0.25">
      <c r="A2339" s="3" t="s">
        <v>2677</v>
      </c>
      <c r="B2339" s="3" t="s">
        <v>2868</v>
      </c>
      <c r="C2339" s="4" t="str">
        <f>HYPERLINK("http://www.rncp.cncp.gouv.fr/grand-public/visualisationFiche?format=fr&amp;fiche=13888","13888")</f>
        <v>13888</v>
      </c>
      <c r="D2339" s="4" t="str">
        <f>HYPERLINK("http://www.intercariforef.org/formations/certification-77209.html","77209")</f>
        <v>77209</v>
      </c>
      <c r="E2339" s="5">
        <v>2091</v>
      </c>
      <c r="F2339" s="5" t="s">
        <v>10</v>
      </c>
      <c r="G2339" s="5" t="s">
        <v>11</v>
      </c>
      <c r="H2339" s="3" t="s">
        <v>1889</v>
      </c>
    </row>
    <row r="2340" spans="1:8" ht="27.6" x14ac:dyDescent="0.25">
      <c r="A2340" s="3" t="s">
        <v>2677</v>
      </c>
      <c r="B2340" s="3" t="s">
        <v>2869</v>
      </c>
      <c r="C2340" s="4" t="str">
        <f>HYPERLINK("http://www.rncp.cncp.gouv.fr/grand-public/visualisationFiche?format=fr&amp;fiche=5922","5922")</f>
        <v>5922</v>
      </c>
      <c r="D2340" s="4" t="str">
        <f>HYPERLINK("http://www.intercariforef.org/formations/certification-81320.html","81320")</f>
        <v>81320</v>
      </c>
      <c r="E2340" s="5">
        <v>130779</v>
      </c>
      <c r="F2340" s="5" t="s">
        <v>10</v>
      </c>
      <c r="G2340" s="5" t="s">
        <v>11</v>
      </c>
      <c r="H2340" s="3" t="s">
        <v>1889</v>
      </c>
    </row>
    <row r="2341" spans="1:8" ht="27.6" x14ac:dyDescent="0.25">
      <c r="A2341" s="3" t="s">
        <v>2677</v>
      </c>
      <c r="B2341" s="3" t="s">
        <v>2870</v>
      </c>
      <c r="C2341" s="4" t="str">
        <f>HYPERLINK("http://www.rncp.cncp.gouv.fr/grand-public/visualisationFiche?format=fr&amp;fiche=1807","1807")</f>
        <v>1807</v>
      </c>
      <c r="D2341" s="4" t="str">
        <f>HYPERLINK("http://www.intercariforef.org/formations/certification-25125.html","25125")</f>
        <v>25125</v>
      </c>
      <c r="E2341" s="5">
        <v>130780</v>
      </c>
      <c r="F2341" s="5" t="s">
        <v>10</v>
      </c>
      <c r="G2341" s="5" t="s">
        <v>11</v>
      </c>
      <c r="H2341" s="3" t="s">
        <v>1889</v>
      </c>
    </row>
    <row r="2342" spans="1:8" ht="27.6" x14ac:dyDescent="0.25">
      <c r="A2342" s="3" t="s">
        <v>2677</v>
      </c>
      <c r="B2342" s="3" t="s">
        <v>2871</v>
      </c>
      <c r="C2342" s="4" t="str">
        <f>HYPERLINK("http://www.rncp.cncp.gouv.fr/grand-public/visualisationFiche?format=fr&amp;fiche=386","386")</f>
        <v>386</v>
      </c>
      <c r="D2342" s="4" t="str">
        <f>HYPERLINK("http://www.intercariforef.org/formations/certification-25126.html","25126")</f>
        <v>25126</v>
      </c>
      <c r="E2342" s="5">
        <v>130793</v>
      </c>
      <c r="F2342" s="5" t="s">
        <v>10</v>
      </c>
      <c r="G2342" s="5" t="s">
        <v>11</v>
      </c>
      <c r="H2342" s="3" t="s">
        <v>1889</v>
      </c>
    </row>
    <row r="2343" spans="1:8" ht="27.6" x14ac:dyDescent="0.25">
      <c r="A2343" s="3" t="s">
        <v>2677</v>
      </c>
      <c r="B2343" s="3" t="s">
        <v>2872</v>
      </c>
      <c r="C2343" s="4" t="str">
        <f>HYPERLINK("http://www.rncp.cncp.gouv.fr/grand-public/visualisationFiche?format=fr&amp;fiche=5920","5920")</f>
        <v>5920</v>
      </c>
      <c r="D2343" s="4" t="str">
        <f>HYPERLINK("http://www.intercariforef.org/formations/certification-81319.html","81319")</f>
        <v>81319</v>
      </c>
      <c r="E2343" s="5">
        <v>130794</v>
      </c>
      <c r="F2343" s="5" t="s">
        <v>10</v>
      </c>
      <c r="G2343" s="5" t="s">
        <v>11</v>
      </c>
      <c r="H2343" s="3" t="s">
        <v>1889</v>
      </c>
    </row>
    <row r="2344" spans="1:8" ht="27.6" x14ac:dyDescent="0.25">
      <c r="A2344" s="3" t="s">
        <v>2677</v>
      </c>
      <c r="B2344" s="3" t="s">
        <v>2873</v>
      </c>
      <c r="C2344" s="4" t="str">
        <f>HYPERLINK("http://www.rncp.cncp.gouv.fr/grand-public/visualisationFiche?format=fr&amp;fiche=1808","1808")</f>
        <v>1808</v>
      </c>
      <c r="D2344" s="4" t="str">
        <f>HYPERLINK("http://www.intercariforef.org/formations/certification-25136.html","25136")</f>
        <v>25136</v>
      </c>
      <c r="E2344" s="5">
        <v>130795</v>
      </c>
      <c r="F2344" s="5" t="s">
        <v>10</v>
      </c>
      <c r="G2344" s="5" t="s">
        <v>11</v>
      </c>
      <c r="H2344" s="3" t="s">
        <v>1889</v>
      </c>
    </row>
    <row r="2345" spans="1:8" ht="27.6" x14ac:dyDescent="0.25">
      <c r="A2345" s="3" t="s">
        <v>2677</v>
      </c>
      <c r="B2345" s="3" t="s">
        <v>2874</v>
      </c>
      <c r="C2345" s="4" t="str">
        <f>HYPERLINK("http://www.rncp.cncp.gouv.fr/grand-public/visualisationFiche?format=fr&amp;fiche=401","401")</f>
        <v>401</v>
      </c>
      <c r="D2345" s="4" t="str">
        <f>HYPERLINK("http://www.intercariforef.org/formations/certification-25142.html","25142")</f>
        <v>25142</v>
      </c>
      <c r="E2345" s="5">
        <v>130796</v>
      </c>
      <c r="F2345" s="5" t="s">
        <v>10</v>
      </c>
      <c r="G2345" s="5" t="s">
        <v>11</v>
      </c>
      <c r="H2345" s="3" t="s">
        <v>1889</v>
      </c>
    </row>
    <row r="2346" spans="1:8" ht="27.6" x14ac:dyDescent="0.25">
      <c r="A2346" s="3" t="s">
        <v>2677</v>
      </c>
      <c r="B2346" s="3" t="s">
        <v>2875</v>
      </c>
      <c r="C2346" s="4" t="str">
        <f>HYPERLINK("http://www.rncp.cncp.gouv.fr/grand-public/visualisationFiche?format=fr&amp;fiche=183","183")</f>
        <v>183</v>
      </c>
      <c r="D2346" s="4" t="str">
        <f>HYPERLINK("http://www.intercariforef.org/formations/certification-81129.html","81129")</f>
        <v>81129</v>
      </c>
      <c r="E2346" s="5">
        <v>130798</v>
      </c>
      <c r="F2346" s="5" t="s">
        <v>10</v>
      </c>
      <c r="G2346" s="5" t="s">
        <v>11</v>
      </c>
      <c r="H2346" s="3" t="s">
        <v>1889</v>
      </c>
    </row>
    <row r="2347" spans="1:8" ht="27.6" x14ac:dyDescent="0.25">
      <c r="A2347" s="3" t="s">
        <v>2677</v>
      </c>
      <c r="B2347" s="3" t="s">
        <v>2876</v>
      </c>
      <c r="C2347" s="4" t="str">
        <f>HYPERLINK("http://www.rncp.cncp.gouv.fr/grand-public/visualisationFiche?format=fr&amp;fiche=12496","12496")</f>
        <v>12496</v>
      </c>
      <c r="D2347" s="4" t="str">
        <f>HYPERLINK("http://www.intercariforef.org/formations/certification-74729.html","74729")</f>
        <v>74729</v>
      </c>
      <c r="E2347" s="5">
        <v>130799</v>
      </c>
      <c r="F2347" s="5" t="s">
        <v>10</v>
      </c>
      <c r="G2347" s="5" t="s">
        <v>11</v>
      </c>
      <c r="H2347" s="3" t="s">
        <v>1889</v>
      </c>
    </row>
    <row r="2348" spans="1:8" ht="27.6" x14ac:dyDescent="0.25">
      <c r="A2348" s="3" t="s">
        <v>2677</v>
      </c>
      <c r="B2348" s="3" t="s">
        <v>2877</v>
      </c>
      <c r="C2348" s="4" t="str">
        <f>HYPERLINK("http://www.rncp.cncp.gouv.fr/grand-public/visualisationFiche?format=fr&amp;fiche=1809","1809")</f>
        <v>1809</v>
      </c>
      <c r="D2348" s="4" t="str">
        <f>HYPERLINK("http://www.intercariforef.org/formations/certification-82664.html","82664")</f>
        <v>82664</v>
      </c>
      <c r="E2348" s="5">
        <v>130800</v>
      </c>
      <c r="F2348" s="5" t="s">
        <v>10</v>
      </c>
      <c r="G2348" s="5" t="s">
        <v>11</v>
      </c>
      <c r="H2348" s="3" t="s">
        <v>1889</v>
      </c>
    </row>
    <row r="2349" spans="1:8" ht="27.6" x14ac:dyDescent="0.25">
      <c r="A2349" s="3" t="s">
        <v>2677</v>
      </c>
      <c r="B2349" s="3" t="s">
        <v>2878</v>
      </c>
      <c r="C2349" s="4" t="str">
        <f>HYPERLINK("http://www.rncp.cncp.gouv.fr/grand-public/visualisationFiche?format=fr&amp;fiche=7142","7142")</f>
        <v>7142</v>
      </c>
      <c r="D2349" s="4" t="str">
        <f>HYPERLINK("http://www.intercariforef.org/formations/certification-82693.html","82693")</f>
        <v>82693</v>
      </c>
      <c r="E2349" s="5">
        <v>150682</v>
      </c>
      <c r="F2349" s="5" t="s">
        <v>10</v>
      </c>
      <c r="G2349" s="5" t="s">
        <v>11</v>
      </c>
      <c r="H2349" s="3" t="s">
        <v>1889</v>
      </c>
    </row>
    <row r="2350" spans="1:8" ht="27.6" x14ac:dyDescent="0.25">
      <c r="A2350" s="3" t="s">
        <v>2677</v>
      </c>
      <c r="B2350" s="3" t="s">
        <v>2879</v>
      </c>
      <c r="C2350" s="4" t="str">
        <f>HYPERLINK("http://www.rncp.cncp.gouv.fr/grand-public/visualisationFiche?format=fr&amp;fiche=5483","5483")</f>
        <v>5483</v>
      </c>
      <c r="D2350" s="4" t="str">
        <f>HYPERLINK("http://www.intercariforef.org/formations/certification-82624.html","82624")</f>
        <v>82624</v>
      </c>
      <c r="E2350" s="5">
        <v>130797</v>
      </c>
      <c r="F2350" s="5" t="s">
        <v>10</v>
      </c>
      <c r="G2350" s="5" t="s">
        <v>11</v>
      </c>
      <c r="H2350" s="3" t="s">
        <v>1889</v>
      </c>
    </row>
    <row r="2351" spans="1:8" ht="27.6" x14ac:dyDescent="0.25">
      <c r="A2351" s="3" t="s">
        <v>2677</v>
      </c>
      <c r="B2351" s="3" t="s">
        <v>2880</v>
      </c>
      <c r="C2351" s="4" t="str">
        <f>HYPERLINK("http://www.rncp.cncp.gouv.fr/grand-public/visualisationFiche?format=fr&amp;fiche=5925","5925")</f>
        <v>5925</v>
      </c>
      <c r="D2351" s="4" t="str">
        <f>HYPERLINK("http://www.intercariforef.org/formations/certification-59550.html","59550")</f>
        <v>59550</v>
      </c>
      <c r="E2351" s="5">
        <v>141257</v>
      </c>
      <c r="F2351" s="5" t="s">
        <v>10</v>
      </c>
      <c r="G2351" s="5" t="s">
        <v>11</v>
      </c>
      <c r="H2351" s="3" t="s">
        <v>1889</v>
      </c>
    </row>
    <row r="2352" spans="1:8" ht="27.6" x14ac:dyDescent="0.25">
      <c r="A2352" s="3" t="s">
        <v>2677</v>
      </c>
      <c r="B2352" s="3" t="s">
        <v>2880</v>
      </c>
      <c r="C2352" s="4" t="str">
        <f>HYPERLINK("http://www.rncp.cncp.gouv.fr/grand-public/visualisationFiche?format=fr&amp;fiche=5925","5925")</f>
        <v>5925</v>
      </c>
      <c r="D2352" s="4" t="str">
        <f>HYPERLINK("http://www.intercariforef.org/formations/certification-81017.html","81017")</f>
        <v>81017</v>
      </c>
      <c r="E2352" s="5">
        <v>141252</v>
      </c>
      <c r="F2352" s="5" t="s">
        <v>10</v>
      </c>
      <c r="G2352" s="5" t="s">
        <v>11</v>
      </c>
      <c r="H2352" s="3" t="s">
        <v>1889</v>
      </c>
    </row>
    <row r="2353" spans="1:8" ht="27.6" x14ac:dyDescent="0.25">
      <c r="A2353" s="3" t="s">
        <v>2677</v>
      </c>
      <c r="B2353" s="3" t="s">
        <v>2881</v>
      </c>
      <c r="C2353" s="4" t="str">
        <f>HYPERLINK("http://www.rncp.cncp.gouv.fr/grand-public/visualisationFiche?format=fr&amp;fiche=3106","3106")</f>
        <v>3106</v>
      </c>
      <c r="D2353" s="4" t="str">
        <f>HYPERLINK("http://www.intercariforef.org/formations/certification-42327.html","42327")</f>
        <v>42327</v>
      </c>
      <c r="E2353" s="5">
        <v>141255</v>
      </c>
      <c r="F2353" s="5" t="s">
        <v>10</v>
      </c>
      <c r="G2353" s="5" t="s">
        <v>11</v>
      </c>
      <c r="H2353" s="3" t="s">
        <v>1889</v>
      </c>
    </row>
    <row r="2354" spans="1:8" ht="27.6" x14ac:dyDescent="0.25">
      <c r="A2354" s="3" t="s">
        <v>2677</v>
      </c>
      <c r="B2354" s="3" t="s">
        <v>2882</v>
      </c>
      <c r="C2354" s="4" t="str">
        <f>HYPERLINK("http://www.rncp.cncp.gouv.fr/grand-public/visualisationFiche?format=fr&amp;fiche=8802","8802")</f>
        <v>8802</v>
      </c>
      <c r="D2354" s="4" t="str">
        <f>HYPERLINK("http://www.intercariforef.org/formations/certification-64269.html","64269")</f>
        <v>64269</v>
      </c>
      <c r="E2354" s="5">
        <v>2106</v>
      </c>
      <c r="F2354" s="5" t="s">
        <v>10</v>
      </c>
      <c r="G2354" s="5" t="s">
        <v>11</v>
      </c>
      <c r="H2354" s="3" t="s">
        <v>1889</v>
      </c>
    </row>
    <row r="2355" spans="1:8" ht="27.6" x14ac:dyDescent="0.25">
      <c r="A2355" s="3" t="s">
        <v>2677</v>
      </c>
      <c r="B2355" s="3" t="s">
        <v>2883</v>
      </c>
      <c r="C2355" s="4" t="str">
        <f>HYPERLINK("http://www.rncp.cncp.gouv.fr/grand-public/visualisationFiche?format=fr&amp;fiche=399","399")</f>
        <v>399</v>
      </c>
      <c r="D2355" s="4" t="str">
        <f>HYPERLINK("http://www.intercariforef.org/formations/certification-81196.html","81196")</f>
        <v>81196</v>
      </c>
      <c r="E2355" s="5">
        <v>2107</v>
      </c>
      <c r="F2355" s="5" t="s">
        <v>10</v>
      </c>
      <c r="G2355" s="5" t="s">
        <v>11</v>
      </c>
      <c r="H2355" s="3" t="s">
        <v>1889</v>
      </c>
    </row>
    <row r="2356" spans="1:8" ht="27.6" x14ac:dyDescent="0.25">
      <c r="A2356" s="3" t="s">
        <v>2677</v>
      </c>
      <c r="B2356" s="3" t="s">
        <v>2884</v>
      </c>
      <c r="C2356" s="4" t="str">
        <f>HYPERLINK("http://www.rncp.cncp.gouv.fr/grand-public/visualisationFiche?format=fr&amp;fiche=319","319")</f>
        <v>319</v>
      </c>
      <c r="D2356" s="4" t="str">
        <f>HYPERLINK("http://www.intercariforef.org/formations/certification-81194.html","81194")</f>
        <v>81194</v>
      </c>
      <c r="E2356" s="5">
        <v>130801</v>
      </c>
      <c r="F2356" s="5" t="s">
        <v>10</v>
      </c>
      <c r="G2356" s="5" t="s">
        <v>11</v>
      </c>
      <c r="H2356" s="3" t="s">
        <v>1889</v>
      </c>
    </row>
    <row r="2357" spans="1:8" ht="27.6" x14ac:dyDescent="0.25">
      <c r="A2357" s="3" t="s">
        <v>2677</v>
      </c>
      <c r="B2357" s="3" t="s">
        <v>2885</v>
      </c>
      <c r="C2357" s="4" t="str">
        <f>HYPERLINK("http://www.rncp.cncp.gouv.fr/grand-public/visualisationFiche?format=fr&amp;fiche=388","388")</f>
        <v>388</v>
      </c>
      <c r="D2357" s="4" t="str">
        <f>HYPERLINK("http://www.intercariforef.org/formations/certification-25202.html","25202")</f>
        <v>25202</v>
      </c>
      <c r="E2357" s="5">
        <v>130802</v>
      </c>
      <c r="F2357" s="5" t="s">
        <v>10</v>
      </c>
      <c r="G2357" s="5" t="s">
        <v>11</v>
      </c>
      <c r="H2357" s="3" t="s">
        <v>1889</v>
      </c>
    </row>
    <row r="2358" spans="1:8" ht="27.6" x14ac:dyDescent="0.25">
      <c r="A2358" s="3" t="s">
        <v>2677</v>
      </c>
      <c r="B2358" s="3" t="s">
        <v>2886</v>
      </c>
      <c r="C2358" s="4" t="str">
        <f>HYPERLINK("http://www.rncp.cncp.gouv.fr/grand-public/visualisationFiche?format=fr&amp;fiche=320","320")</f>
        <v>320</v>
      </c>
      <c r="D2358" s="4" t="str">
        <f>HYPERLINK("http://www.intercariforef.org/formations/certification-80735.html","80735")</f>
        <v>80735</v>
      </c>
      <c r="E2358" s="5">
        <v>130805</v>
      </c>
      <c r="F2358" s="5" t="s">
        <v>10</v>
      </c>
      <c r="G2358" s="5" t="s">
        <v>11</v>
      </c>
      <c r="H2358" s="3" t="s">
        <v>1889</v>
      </c>
    </row>
    <row r="2359" spans="1:8" ht="27.6" x14ac:dyDescent="0.25">
      <c r="A2359" s="3" t="s">
        <v>2677</v>
      </c>
      <c r="B2359" s="3" t="s">
        <v>2887</v>
      </c>
      <c r="C2359" s="4" t="str">
        <f>HYPERLINK("http://www.rncp.cncp.gouv.fr/grand-public/visualisationFiche?format=fr&amp;fiche=395","395")</f>
        <v>395</v>
      </c>
      <c r="D2359" s="4" t="str">
        <f>HYPERLINK("http://www.intercariforef.org/formations/certification-80736.html","80736")</f>
        <v>80736</v>
      </c>
      <c r="E2359" s="5">
        <v>130806</v>
      </c>
      <c r="F2359" s="5" t="s">
        <v>10</v>
      </c>
      <c r="G2359" s="5" t="s">
        <v>11</v>
      </c>
      <c r="H2359" s="3" t="s">
        <v>1889</v>
      </c>
    </row>
    <row r="2360" spans="1:8" ht="27.6" x14ac:dyDescent="0.25">
      <c r="A2360" s="3" t="s">
        <v>2677</v>
      </c>
      <c r="B2360" s="3" t="s">
        <v>2888</v>
      </c>
      <c r="C2360" s="4" t="str">
        <f>HYPERLINK("http://www.rncp.cncp.gouv.fr/grand-public/visualisationFiche?format=fr&amp;fiche=389","389")</f>
        <v>389</v>
      </c>
      <c r="D2360" s="4" t="str">
        <f>HYPERLINK("http://www.intercariforef.org/formations/certification-81197.html","81197")</f>
        <v>81197</v>
      </c>
      <c r="E2360" s="5">
        <v>131933</v>
      </c>
      <c r="F2360" s="5" t="s">
        <v>10</v>
      </c>
      <c r="G2360" s="5" t="s">
        <v>11</v>
      </c>
      <c r="H2360" s="3" t="s">
        <v>1889</v>
      </c>
    </row>
    <row r="2361" spans="1:8" ht="27.6" x14ac:dyDescent="0.25">
      <c r="A2361" s="3" t="s">
        <v>2677</v>
      </c>
      <c r="B2361" s="3" t="s">
        <v>2889</v>
      </c>
      <c r="C2361" s="4" t="str">
        <f>HYPERLINK("http://www.rncp.cncp.gouv.fr/grand-public/visualisationFiche?format=fr&amp;fiche=390","390")</f>
        <v>390</v>
      </c>
      <c r="D2361" s="4" t="str">
        <f>HYPERLINK("http://www.intercariforef.org/formations/certification-25212.html","25212")</f>
        <v>25212</v>
      </c>
      <c r="E2361" s="5">
        <v>130807</v>
      </c>
      <c r="F2361" s="5" t="s">
        <v>10</v>
      </c>
      <c r="G2361" s="5" t="s">
        <v>11</v>
      </c>
      <c r="H2361" s="3" t="s">
        <v>1889</v>
      </c>
    </row>
    <row r="2362" spans="1:8" ht="27.6" x14ac:dyDescent="0.25">
      <c r="A2362" s="3" t="s">
        <v>2677</v>
      </c>
      <c r="B2362" s="3" t="s">
        <v>2890</v>
      </c>
      <c r="C2362" s="4" t="str">
        <f>HYPERLINK("http://www.rncp.cncp.gouv.fr/grand-public/visualisationFiche?format=fr&amp;fiche=311","311")</f>
        <v>311</v>
      </c>
      <c r="D2362" s="4" t="str">
        <f>HYPERLINK("http://www.intercariforef.org/formations/certification-25213.html","25213")</f>
        <v>25213</v>
      </c>
      <c r="E2362" s="5">
        <v>2108</v>
      </c>
      <c r="F2362" s="5" t="s">
        <v>10</v>
      </c>
      <c r="G2362" s="5" t="s">
        <v>11</v>
      </c>
      <c r="H2362" s="3" t="s">
        <v>1889</v>
      </c>
    </row>
    <row r="2363" spans="1:8" ht="27.6" x14ac:dyDescent="0.25">
      <c r="A2363" s="3" t="s">
        <v>2677</v>
      </c>
      <c r="B2363" s="3" t="s">
        <v>2891</v>
      </c>
      <c r="C2363" s="4" t="str">
        <f>HYPERLINK("http://www.rncp.cncp.gouv.fr/grand-public/visualisationFiche?format=fr&amp;fiche=3105","3105")</f>
        <v>3105</v>
      </c>
      <c r="D2363" s="4" t="str">
        <f>HYPERLINK("http://www.intercariforef.org/formations/certification-53062.html","53062")</f>
        <v>53062</v>
      </c>
      <c r="E2363" s="5">
        <v>141184</v>
      </c>
      <c r="F2363" s="5" t="s">
        <v>10</v>
      </c>
      <c r="G2363" s="5" t="s">
        <v>11</v>
      </c>
      <c r="H2363" s="3" t="s">
        <v>1889</v>
      </c>
    </row>
    <row r="2364" spans="1:8" ht="27.6" x14ac:dyDescent="0.25">
      <c r="A2364" s="3" t="s">
        <v>2677</v>
      </c>
      <c r="B2364" s="3" t="s">
        <v>2892</v>
      </c>
      <c r="C2364" s="4" t="str">
        <f>HYPERLINK("http://www.rncp.cncp.gouv.fr/grand-public/visualisationFiche?format=fr&amp;fiche=1845","1845")</f>
        <v>1845</v>
      </c>
      <c r="D2364" s="4" t="str">
        <f>HYPERLINK("http://www.intercariforef.org/formations/certification-25241.html","25241")</f>
        <v>25241</v>
      </c>
      <c r="E2364" s="5">
        <v>141185</v>
      </c>
      <c r="F2364" s="5" t="s">
        <v>10</v>
      </c>
      <c r="G2364" s="5" t="s">
        <v>11</v>
      </c>
      <c r="H2364" s="3" t="s">
        <v>1889</v>
      </c>
    </row>
    <row r="2365" spans="1:8" ht="27.6" x14ac:dyDescent="0.25">
      <c r="A2365" s="3" t="s">
        <v>2677</v>
      </c>
      <c r="B2365" s="3" t="s">
        <v>2893</v>
      </c>
      <c r="C2365" s="4" t="str">
        <f>HYPERLINK("http://www.rncp.cncp.gouv.fr/grand-public/visualisationFiche?format=fr&amp;fiche=8889","8889")</f>
        <v>8889</v>
      </c>
      <c r="D2365" s="4" t="str">
        <f>HYPERLINK("http://www.intercariforef.org/formations/certification-82774.html","82774")</f>
        <v>82774</v>
      </c>
      <c r="E2365" s="5">
        <v>141253</v>
      </c>
      <c r="F2365" s="5" t="s">
        <v>10</v>
      </c>
      <c r="G2365" s="5" t="s">
        <v>11</v>
      </c>
      <c r="H2365" s="3" t="s">
        <v>1889</v>
      </c>
    </row>
    <row r="2366" spans="1:8" ht="27.6" x14ac:dyDescent="0.25">
      <c r="A2366" s="3" t="s">
        <v>2677</v>
      </c>
      <c r="B2366" s="3" t="s">
        <v>2894</v>
      </c>
      <c r="C2366" s="4" t="str">
        <f>HYPERLINK("http://www.rncp.cncp.gouv.fr/grand-public/visualisationFiche?format=fr&amp;fiche=317","317")</f>
        <v>317</v>
      </c>
      <c r="D2366" s="4" t="str">
        <f>HYPERLINK("http://www.intercariforef.org/formations/certification-55397.html","55397")</f>
        <v>55397</v>
      </c>
      <c r="E2366" s="5">
        <v>130809</v>
      </c>
      <c r="F2366" s="5" t="s">
        <v>10</v>
      </c>
      <c r="G2366" s="5" t="s">
        <v>11</v>
      </c>
      <c r="H2366" s="3" t="s">
        <v>1889</v>
      </c>
    </row>
    <row r="2367" spans="1:8" ht="27.6" x14ac:dyDescent="0.25">
      <c r="A2367" s="3" t="s">
        <v>2677</v>
      </c>
      <c r="B2367" s="3" t="s">
        <v>2895</v>
      </c>
      <c r="C2367" s="4" t="str">
        <f>HYPERLINK("http://www.rncp.cncp.gouv.fr/grand-public/visualisationFiche?format=fr&amp;fiche=9467","9467")</f>
        <v>9467</v>
      </c>
      <c r="D2367" s="4" t="str">
        <f>HYPERLINK("http://www.intercariforef.org/formations/certification-68928.html","68928")</f>
        <v>68928</v>
      </c>
      <c r="E2367" s="5">
        <v>141259</v>
      </c>
      <c r="F2367" s="5" t="s">
        <v>10</v>
      </c>
      <c r="G2367" s="5" t="s">
        <v>11</v>
      </c>
      <c r="H2367" s="3" t="s">
        <v>1889</v>
      </c>
    </row>
    <row r="2368" spans="1:8" ht="27.6" x14ac:dyDescent="0.25">
      <c r="A2368" s="3" t="s">
        <v>2677</v>
      </c>
      <c r="B2368" s="3" t="s">
        <v>2896</v>
      </c>
      <c r="C2368" s="4" t="str">
        <f>HYPERLINK("http://www.rncp.cncp.gouv.fr/grand-public/visualisationFiche?format=fr&amp;fiche=9467","9467")</f>
        <v>9467</v>
      </c>
      <c r="D2368" s="4" t="str">
        <f>HYPERLINK("http://www.intercariforef.org/formations/certification-83970.html","83970")</f>
        <v>83970</v>
      </c>
      <c r="E2368" s="5">
        <v>141258</v>
      </c>
      <c r="F2368" s="5" t="s">
        <v>10</v>
      </c>
      <c r="G2368" s="5" t="s">
        <v>11</v>
      </c>
      <c r="H2368" s="3" t="s">
        <v>1889</v>
      </c>
    </row>
    <row r="2369" spans="1:8" ht="27.6" x14ac:dyDescent="0.25">
      <c r="A2369" s="3" t="s">
        <v>2677</v>
      </c>
      <c r="B2369" s="3" t="s">
        <v>2897</v>
      </c>
      <c r="C2369" s="4" t="str">
        <f>HYPERLINK("http://www.rncp.cncp.gouv.fr/grand-public/visualisationFiche?format=fr&amp;fiche=240","240")</f>
        <v>240</v>
      </c>
      <c r="D2369" s="4" t="str">
        <f>HYPERLINK("http://www.intercariforef.org/formations/certification-80751.html","80751")</f>
        <v>80751</v>
      </c>
      <c r="E2369" s="5">
        <v>141254</v>
      </c>
      <c r="F2369" s="5" t="s">
        <v>10</v>
      </c>
      <c r="G2369" s="5" t="s">
        <v>11</v>
      </c>
      <c r="H2369" s="3" t="s">
        <v>1889</v>
      </c>
    </row>
    <row r="2370" spans="1:8" ht="27.6" x14ac:dyDescent="0.25">
      <c r="A2370" s="3" t="s">
        <v>2677</v>
      </c>
      <c r="B2370" s="3" t="s">
        <v>2898</v>
      </c>
      <c r="C2370" s="4" t="str">
        <f>HYPERLINK("http://www.rncp.cncp.gouv.fr/grand-public/visualisationFiche?format=fr&amp;fiche=1813","1813")</f>
        <v>1813</v>
      </c>
      <c r="D2370" s="4" t="str">
        <f>HYPERLINK("http://www.intercariforef.org/formations/certification-25255.html","25255")</f>
        <v>25255</v>
      </c>
      <c r="E2370" s="5">
        <v>130811</v>
      </c>
      <c r="F2370" s="5" t="s">
        <v>10</v>
      </c>
      <c r="G2370" s="5" t="s">
        <v>11</v>
      </c>
      <c r="H2370" s="3" t="s">
        <v>1889</v>
      </c>
    </row>
    <row r="2371" spans="1:8" ht="27.6" x14ac:dyDescent="0.25">
      <c r="A2371" s="3" t="s">
        <v>2677</v>
      </c>
      <c r="B2371" s="3" t="s">
        <v>2899</v>
      </c>
      <c r="C2371" s="4" t="str">
        <f>HYPERLINK("http://www.rncp.cncp.gouv.fr/grand-public/visualisationFiche?format=fr&amp;fiche=4965","4965")</f>
        <v>4965</v>
      </c>
      <c r="D2371" s="4" t="str">
        <f>HYPERLINK("http://www.intercariforef.org/formations/certification-53659.html","53659")</f>
        <v>53659</v>
      </c>
      <c r="E2371" s="5">
        <v>141261</v>
      </c>
      <c r="F2371" s="5" t="s">
        <v>10</v>
      </c>
      <c r="G2371" s="5" t="s">
        <v>11</v>
      </c>
      <c r="H2371" s="3" t="s">
        <v>1889</v>
      </c>
    </row>
    <row r="2372" spans="1:8" ht="27.6" x14ac:dyDescent="0.25">
      <c r="A2372" s="3" t="s">
        <v>2677</v>
      </c>
      <c r="B2372" s="3" t="s">
        <v>2900</v>
      </c>
      <c r="C2372" s="4" t="str">
        <f>HYPERLINK("http://www.rncp.cncp.gouv.fr/grand-public/visualisationFiche?format=fr&amp;fiche=1245","1245")</f>
        <v>1245</v>
      </c>
      <c r="D2372" s="4" t="str">
        <f>HYPERLINK("http://www.intercariforef.org/formations/certification-83968.html","83968")</f>
        <v>83968</v>
      </c>
      <c r="E2372" s="5">
        <v>141262</v>
      </c>
      <c r="F2372" s="5" t="s">
        <v>10</v>
      </c>
      <c r="G2372" s="5" t="s">
        <v>11</v>
      </c>
      <c r="H2372" s="3" t="s">
        <v>1889</v>
      </c>
    </row>
    <row r="2373" spans="1:8" ht="27.6" x14ac:dyDescent="0.25">
      <c r="A2373" s="3" t="s">
        <v>2677</v>
      </c>
      <c r="B2373" s="3" t="s">
        <v>2901</v>
      </c>
      <c r="C2373" s="4" t="str">
        <f>HYPERLINK("http://www.rncp.cncp.gouv.fr/grand-public/visualisationFiche?format=fr&amp;fiche=15076","15076")</f>
        <v>15076</v>
      </c>
      <c r="D2373" s="4" t="str">
        <f>HYPERLINK("http://www.intercariforef.org/formations/certification-77487.html","77487")</f>
        <v>77487</v>
      </c>
      <c r="E2373" s="5">
        <v>141176</v>
      </c>
      <c r="F2373" s="5" t="s">
        <v>10</v>
      </c>
      <c r="G2373" s="5" t="s">
        <v>11</v>
      </c>
      <c r="H2373" s="3" t="s">
        <v>1937</v>
      </c>
    </row>
    <row r="2374" spans="1:8" ht="13.8" x14ac:dyDescent="0.25">
      <c r="A2374" s="3" t="s">
        <v>2902</v>
      </c>
      <c r="B2374" s="3" t="s">
        <v>2903</v>
      </c>
      <c r="C2374" s="5"/>
      <c r="D2374" s="4" t="str">
        <f>HYPERLINK("http://www.intercariforef.org/formations/certification-84414.html","84414")</f>
        <v>84414</v>
      </c>
      <c r="E2374" s="5">
        <v>146864</v>
      </c>
      <c r="F2374" s="5" t="s">
        <v>10</v>
      </c>
      <c r="G2374" s="5" t="s">
        <v>11</v>
      </c>
      <c r="H2374" s="3"/>
    </row>
    <row r="2375" spans="1:8" ht="13.8" x14ac:dyDescent="0.25">
      <c r="A2375" s="3" t="s">
        <v>2902</v>
      </c>
      <c r="B2375" s="3" t="s">
        <v>2904</v>
      </c>
      <c r="C2375" s="5"/>
      <c r="D2375" s="4" t="str">
        <f>HYPERLINK("http://www.intercariforef.org/formations/certification-84165.html","84165")</f>
        <v>84165</v>
      </c>
      <c r="E2375" s="5">
        <v>131205</v>
      </c>
      <c r="F2375" s="5" t="s">
        <v>10</v>
      </c>
      <c r="G2375" s="5" t="s">
        <v>11</v>
      </c>
      <c r="H2375" s="3" t="s">
        <v>2905</v>
      </c>
    </row>
    <row r="2376" spans="1:8" ht="27.6" x14ac:dyDescent="0.25">
      <c r="A2376" s="3" t="s">
        <v>2902</v>
      </c>
      <c r="B2376" s="3" t="s">
        <v>2906</v>
      </c>
      <c r="C2376" s="5"/>
      <c r="D2376" s="4" t="str">
        <f>HYPERLINK("http://www.intercariforef.org/formations/certification-84533.html","84533")</f>
        <v>84533</v>
      </c>
      <c r="E2376" s="5">
        <v>162604</v>
      </c>
      <c r="F2376" s="5" t="s">
        <v>10</v>
      </c>
      <c r="G2376" s="5" t="s">
        <v>11</v>
      </c>
      <c r="H2376" s="3" t="s">
        <v>2907</v>
      </c>
    </row>
    <row r="2377" spans="1:8" ht="27.6" x14ac:dyDescent="0.25">
      <c r="A2377" s="3" t="s">
        <v>2902</v>
      </c>
      <c r="B2377" s="3" t="s">
        <v>2908</v>
      </c>
      <c r="C2377" s="5"/>
      <c r="D2377" s="4" t="str">
        <f>HYPERLINK("http://www.intercariforef.org/formations/certification-84536.html","84536")</f>
        <v>84536</v>
      </c>
      <c r="E2377" s="5">
        <v>162613</v>
      </c>
      <c r="F2377" s="5" t="s">
        <v>10</v>
      </c>
      <c r="G2377" s="5" t="s">
        <v>11</v>
      </c>
      <c r="H2377" s="3" t="s">
        <v>2907</v>
      </c>
    </row>
    <row r="2378" spans="1:8" ht="13.8" x14ac:dyDescent="0.25">
      <c r="A2378" s="3" t="s">
        <v>2902</v>
      </c>
      <c r="B2378" s="3" t="s">
        <v>2909</v>
      </c>
      <c r="C2378" s="5"/>
      <c r="D2378" s="4" t="str">
        <f>HYPERLINK("http://www.intercariforef.org/formations/certification-84999.html","84999")</f>
        <v>84999</v>
      </c>
      <c r="E2378" s="5">
        <v>161190</v>
      </c>
      <c r="F2378" s="5" t="s">
        <v>10</v>
      </c>
      <c r="G2378" s="5" t="s">
        <v>11</v>
      </c>
      <c r="H2378" s="3"/>
    </row>
    <row r="2379" spans="1:8" ht="13.8" x14ac:dyDescent="0.25">
      <c r="A2379" s="3" t="s">
        <v>2902</v>
      </c>
      <c r="B2379" s="3" t="s">
        <v>2910</v>
      </c>
      <c r="C2379" s="5"/>
      <c r="D2379" s="4" t="str">
        <f>HYPERLINK("http://www.intercariforef.org/formations/certification-84528.html","84528")</f>
        <v>84528</v>
      </c>
      <c r="E2379" s="5">
        <v>162808</v>
      </c>
      <c r="F2379" s="5" t="s">
        <v>721</v>
      </c>
      <c r="G2379" s="5" t="s">
        <v>11</v>
      </c>
      <c r="H2379" s="3"/>
    </row>
    <row r="2380" spans="1:8" ht="13.8" x14ac:dyDescent="0.25">
      <c r="A2380" s="3" t="s">
        <v>2902</v>
      </c>
      <c r="B2380" s="3" t="s">
        <v>2911</v>
      </c>
      <c r="C2380" s="5"/>
      <c r="D2380" s="4" t="str">
        <f>HYPERLINK("http://www.intercariforef.org/formations/certification-83553.html","83553")</f>
        <v>83553</v>
      </c>
      <c r="E2380" s="5">
        <v>162809</v>
      </c>
      <c r="F2380" s="5" t="s">
        <v>721</v>
      </c>
      <c r="G2380" s="5" t="s">
        <v>11</v>
      </c>
      <c r="H2380" s="3" t="s">
        <v>2912</v>
      </c>
    </row>
    <row r="2381" spans="1:8" ht="27.6" x14ac:dyDescent="0.25">
      <c r="A2381" s="3" t="s">
        <v>2902</v>
      </c>
      <c r="B2381" s="3" t="s">
        <v>2913</v>
      </c>
      <c r="C2381" s="5"/>
      <c r="D2381" s="4" t="str">
        <f>HYPERLINK("http://www.intercariforef.org/formations/certification-50332.html","50332")</f>
        <v>50332</v>
      </c>
      <c r="E2381" s="5">
        <v>131862</v>
      </c>
      <c r="F2381" s="5" t="s">
        <v>10</v>
      </c>
      <c r="G2381" s="5" t="s">
        <v>11</v>
      </c>
      <c r="H2381" s="3" t="s">
        <v>2914</v>
      </c>
    </row>
    <row r="2382" spans="1:8" ht="27.6" x14ac:dyDescent="0.25">
      <c r="A2382" s="3" t="s">
        <v>2902</v>
      </c>
      <c r="B2382" s="3" t="s">
        <v>2915</v>
      </c>
      <c r="C2382" s="5"/>
      <c r="D2382" s="4" t="str">
        <f>HYPERLINK("http://www.intercariforef.org/formations/certification-50331.html","50331")</f>
        <v>50331</v>
      </c>
      <c r="E2382" s="5">
        <v>131861</v>
      </c>
      <c r="F2382" s="5" t="s">
        <v>10</v>
      </c>
      <c r="G2382" s="5" t="s">
        <v>11</v>
      </c>
      <c r="H2382" s="3" t="s">
        <v>2914</v>
      </c>
    </row>
    <row r="2383" spans="1:8" ht="27.6" x14ac:dyDescent="0.25">
      <c r="A2383" s="3" t="s">
        <v>2902</v>
      </c>
      <c r="B2383" s="3" t="s">
        <v>2916</v>
      </c>
      <c r="C2383" s="5"/>
      <c r="D2383" s="4" t="str">
        <f>HYPERLINK("http://www.intercariforef.org/formations/certification-50333.html","50333")</f>
        <v>50333</v>
      </c>
      <c r="E2383" s="5">
        <v>131924</v>
      </c>
      <c r="F2383" s="5" t="s">
        <v>10</v>
      </c>
      <c r="G2383" s="5" t="s">
        <v>11</v>
      </c>
      <c r="H2383" s="3" t="s">
        <v>2914</v>
      </c>
    </row>
    <row r="2384" spans="1:8" ht="27.6" x14ac:dyDescent="0.25">
      <c r="A2384" s="3" t="s">
        <v>2902</v>
      </c>
      <c r="B2384" s="3" t="s">
        <v>2917</v>
      </c>
      <c r="C2384" s="5"/>
      <c r="D2384" s="4" t="str">
        <f>HYPERLINK("http://www.intercariforef.org/formations/certification-81148.html","81148")</f>
        <v>81148</v>
      </c>
      <c r="E2384" s="5">
        <v>154369</v>
      </c>
      <c r="F2384" s="5" t="s">
        <v>10</v>
      </c>
      <c r="G2384" s="5" t="s">
        <v>11</v>
      </c>
      <c r="H2384" s="3" t="s">
        <v>2918</v>
      </c>
    </row>
    <row r="2385" spans="1:8" ht="13.8" x14ac:dyDescent="0.25">
      <c r="A2385" s="3" t="s">
        <v>2902</v>
      </c>
      <c r="B2385" s="3" t="s">
        <v>2919</v>
      </c>
      <c r="C2385" s="5"/>
      <c r="D2385" s="4" t="str">
        <f>HYPERLINK("http://www.intercariforef.org/formations/certification-79221.html","79221")</f>
        <v>79221</v>
      </c>
      <c r="E2385" s="5">
        <v>154368</v>
      </c>
      <c r="F2385" s="5" t="s">
        <v>10</v>
      </c>
      <c r="G2385" s="5" t="s">
        <v>11</v>
      </c>
      <c r="H2385" s="3" t="s">
        <v>2920</v>
      </c>
    </row>
    <row r="2386" spans="1:8" ht="13.8" x14ac:dyDescent="0.25">
      <c r="A2386" s="3" t="s">
        <v>2902</v>
      </c>
      <c r="B2386" s="3" t="s">
        <v>2921</v>
      </c>
      <c r="C2386" s="5"/>
      <c r="D2386" s="4" t="str">
        <f>HYPERLINK("http://www.intercariforef.org/formations/certification-79222.html","79222")</f>
        <v>79222</v>
      </c>
      <c r="E2386" s="5">
        <v>148247</v>
      </c>
      <c r="F2386" s="5" t="s">
        <v>10</v>
      </c>
      <c r="G2386" s="5" t="s">
        <v>11</v>
      </c>
      <c r="H2386" s="3" t="s">
        <v>2920</v>
      </c>
    </row>
    <row r="2387" spans="1:8" ht="27.6" x14ac:dyDescent="0.25">
      <c r="A2387" s="3" t="s">
        <v>2902</v>
      </c>
      <c r="B2387" s="3" t="s">
        <v>2922</v>
      </c>
      <c r="C2387" s="4" t="str">
        <f>HYPERLINK("http://www.rncp.cncp.gouv.fr/grand-public/visualisationFiche?format=fr&amp;fiche=4079","4079")</f>
        <v>4079</v>
      </c>
      <c r="D2387" s="4" t="str">
        <f>HYPERLINK("http://www.intercariforef.org/formations/certification-47365.html","47365")</f>
        <v>47365</v>
      </c>
      <c r="E2387" s="5">
        <v>131848</v>
      </c>
      <c r="F2387" s="5" t="s">
        <v>10</v>
      </c>
      <c r="G2387" s="5" t="s">
        <v>11</v>
      </c>
      <c r="H2387" s="3" t="s">
        <v>2923</v>
      </c>
    </row>
    <row r="2388" spans="1:8" ht="13.8" x14ac:dyDescent="0.25">
      <c r="A2388" s="3" t="s">
        <v>2902</v>
      </c>
      <c r="B2388" s="3" t="s">
        <v>2924</v>
      </c>
      <c r="C2388" s="5"/>
      <c r="D2388" s="4" t="str">
        <f>HYPERLINK("http://www.intercariforef.org/formations/certification-66302.html","66302")</f>
        <v>66302</v>
      </c>
      <c r="E2388" s="5">
        <v>154367</v>
      </c>
      <c r="F2388" s="5" t="s">
        <v>10</v>
      </c>
      <c r="G2388" s="5" t="s">
        <v>11</v>
      </c>
      <c r="H2388" s="3" t="s">
        <v>2920</v>
      </c>
    </row>
    <row r="2389" spans="1:8" ht="27.6" x14ac:dyDescent="0.25">
      <c r="A2389" s="3" t="s">
        <v>2902</v>
      </c>
      <c r="B2389" s="3" t="s">
        <v>2925</v>
      </c>
      <c r="C2389" s="4" t="str">
        <f>HYPERLINK("http://www.rncp.cncp.gouv.fr/grand-public/visualisationFiche?format=fr&amp;fiche=12275","12275")</f>
        <v>12275</v>
      </c>
      <c r="D2389" s="4" t="str">
        <f>HYPERLINK("http://www.intercariforef.org/formations/certification-73354.html","73354")</f>
        <v>73354</v>
      </c>
      <c r="E2389" s="5">
        <v>162810</v>
      </c>
      <c r="F2389" s="5" t="s">
        <v>721</v>
      </c>
      <c r="G2389" s="5" t="s">
        <v>11</v>
      </c>
      <c r="H2389" s="3" t="s">
        <v>2926</v>
      </c>
    </row>
    <row r="2390" spans="1:8" ht="27.6" x14ac:dyDescent="0.25">
      <c r="A2390" s="3" t="s">
        <v>2902</v>
      </c>
      <c r="B2390" s="3" t="s">
        <v>2927</v>
      </c>
      <c r="C2390" s="4" t="str">
        <f>HYPERLINK("http://www.rncp.cncp.gouv.fr/grand-public/visualisationFiche?format=fr&amp;fiche=12056","12056")</f>
        <v>12056</v>
      </c>
      <c r="D2390" s="4" t="str">
        <f>HYPERLINK("http://www.intercariforef.org/formations/certification-72744.html","72744")</f>
        <v>72744</v>
      </c>
      <c r="E2390" s="5">
        <v>131863</v>
      </c>
      <c r="F2390" s="5" t="s">
        <v>10</v>
      </c>
      <c r="G2390" s="5" t="s">
        <v>11</v>
      </c>
      <c r="H2390" s="3" t="s">
        <v>2923</v>
      </c>
    </row>
    <row r="2391" spans="1:8" ht="27.6" x14ac:dyDescent="0.25">
      <c r="A2391" s="3" t="s">
        <v>2902</v>
      </c>
      <c r="B2391" s="3" t="s">
        <v>2928</v>
      </c>
      <c r="C2391" s="4" t="str">
        <f>HYPERLINK("http://www.rncp.cncp.gouv.fr/grand-public/visualisationFiche?format=fr&amp;fiche=5593","5593")</f>
        <v>5593</v>
      </c>
      <c r="D2391" s="4" t="str">
        <f>HYPERLINK("http://www.intercariforef.org/formations/certification-81420.html","81420")</f>
        <v>81420</v>
      </c>
      <c r="E2391" s="5">
        <v>146884</v>
      </c>
      <c r="F2391" s="5" t="s">
        <v>10</v>
      </c>
      <c r="G2391" s="5" t="s">
        <v>11</v>
      </c>
      <c r="H2391" s="3" t="s">
        <v>2929</v>
      </c>
    </row>
    <row r="2392" spans="1:8" ht="13.8" x14ac:dyDescent="0.25">
      <c r="A2392" s="3" t="s">
        <v>2902</v>
      </c>
      <c r="B2392" s="3" t="s">
        <v>2930</v>
      </c>
      <c r="C2392" s="5"/>
      <c r="D2392" s="4" t="str">
        <f>HYPERLINK("http://www.intercariforef.org/formations/certification-80712.html","80712")</f>
        <v>80712</v>
      </c>
      <c r="E2392" s="5">
        <v>154372</v>
      </c>
      <c r="F2392" s="5" t="s">
        <v>10</v>
      </c>
      <c r="G2392" s="5" t="s">
        <v>11</v>
      </c>
      <c r="H2392" s="3" t="s">
        <v>2920</v>
      </c>
    </row>
    <row r="2393" spans="1:8" ht="13.8" x14ac:dyDescent="0.25">
      <c r="A2393" s="3" t="s">
        <v>2902</v>
      </c>
      <c r="B2393" s="3" t="s">
        <v>2931</v>
      </c>
      <c r="C2393" s="5"/>
      <c r="D2393" s="4" t="str">
        <f>HYPERLINK("http://www.intercariforef.org/formations/certification-80710.html","80710")</f>
        <v>80710</v>
      </c>
      <c r="E2393" s="5">
        <v>154370</v>
      </c>
      <c r="F2393" s="5" t="s">
        <v>10</v>
      </c>
      <c r="G2393" s="5" t="s">
        <v>11</v>
      </c>
      <c r="H2393" s="3" t="s">
        <v>2920</v>
      </c>
    </row>
    <row r="2394" spans="1:8" ht="13.8" x14ac:dyDescent="0.25">
      <c r="A2394" s="3" t="s">
        <v>2902</v>
      </c>
      <c r="B2394" s="3" t="s">
        <v>2932</v>
      </c>
      <c r="C2394" s="5"/>
      <c r="D2394" s="4" t="str">
        <f>HYPERLINK("http://www.intercariforef.org/formations/certification-80711.html","80711")</f>
        <v>80711</v>
      </c>
      <c r="E2394" s="5">
        <v>154371</v>
      </c>
      <c r="F2394" s="5" t="s">
        <v>10</v>
      </c>
      <c r="G2394" s="5" t="s">
        <v>11</v>
      </c>
      <c r="H2394" s="3" t="s">
        <v>2920</v>
      </c>
    </row>
    <row r="2395" spans="1:8" ht="13.8" x14ac:dyDescent="0.25">
      <c r="A2395" s="3" t="s">
        <v>2902</v>
      </c>
      <c r="B2395" s="3" t="s">
        <v>2933</v>
      </c>
      <c r="C2395" s="4" t="str">
        <f>HYPERLINK("http://www.rncp.cncp.gouv.fr/grand-public/visualisationFiche?format=fr&amp;fiche=12836","12836")</f>
        <v>12836</v>
      </c>
      <c r="D2395" s="4" t="str">
        <f>HYPERLINK("http://www.intercariforef.org/formations/certification-75974.html","75974")</f>
        <v>75974</v>
      </c>
      <c r="E2395" s="5">
        <v>141171</v>
      </c>
      <c r="F2395" s="5" t="s">
        <v>10</v>
      </c>
      <c r="G2395" s="5" t="s">
        <v>11</v>
      </c>
      <c r="H2395" s="3" t="s">
        <v>2934</v>
      </c>
    </row>
    <row r="2396" spans="1:8" ht="13.8" x14ac:dyDescent="0.25">
      <c r="A2396" s="3" t="s">
        <v>2902</v>
      </c>
      <c r="B2396" s="3" t="s">
        <v>2935</v>
      </c>
      <c r="C2396" s="4" t="str">
        <f>HYPERLINK("http://www.rncp.cncp.gouv.fr/grand-public/visualisationFiche?format=fr&amp;fiche=13094","13094")</f>
        <v>13094</v>
      </c>
      <c r="D2396" s="4" t="str">
        <f>HYPERLINK("http://www.intercariforef.org/formations/certification-75973.html","75973")</f>
        <v>75973</v>
      </c>
      <c r="E2396" s="5">
        <v>131864</v>
      </c>
      <c r="F2396" s="5" t="s">
        <v>10</v>
      </c>
      <c r="G2396" s="5" t="s">
        <v>11</v>
      </c>
      <c r="H2396" s="3" t="s">
        <v>2936</v>
      </c>
    </row>
    <row r="2397" spans="1:8" ht="13.8" x14ac:dyDescent="0.25">
      <c r="A2397" s="3" t="s">
        <v>2902</v>
      </c>
      <c r="B2397" s="3" t="s">
        <v>2937</v>
      </c>
      <c r="C2397" s="4" t="str">
        <f>HYPERLINK("http://www.rncp.cncp.gouv.fr/grand-public/visualisationFiche?format=fr&amp;fiche=17336","17336")</f>
        <v>17336</v>
      </c>
      <c r="D2397" s="4" t="str">
        <f>HYPERLINK("http://www.intercariforef.org/formations/certification-80166.html","80166")</f>
        <v>80166</v>
      </c>
      <c r="E2397" s="5">
        <v>162813</v>
      </c>
      <c r="F2397" s="5" t="s">
        <v>721</v>
      </c>
      <c r="G2397" s="5" t="s">
        <v>11</v>
      </c>
      <c r="H2397" s="3" t="s">
        <v>2938</v>
      </c>
    </row>
    <row r="2398" spans="1:8" ht="13.8" x14ac:dyDescent="0.25">
      <c r="A2398" s="3" t="s">
        <v>2902</v>
      </c>
      <c r="B2398" s="3" t="s">
        <v>2939</v>
      </c>
      <c r="C2398" s="4" t="str">
        <f>HYPERLINK("http://www.rncp.cncp.gouv.fr/grand-public/visualisationFiche?format=fr&amp;fiche=17336","17336")</f>
        <v>17336</v>
      </c>
      <c r="D2398" s="4" t="str">
        <f>HYPERLINK("http://www.intercariforef.org/formations/certification-80163.html","80163")</f>
        <v>80163</v>
      </c>
      <c r="E2398" s="5">
        <v>162812</v>
      </c>
      <c r="F2398" s="5" t="s">
        <v>721</v>
      </c>
      <c r="G2398" s="5" t="s">
        <v>11</v>
      </c>
      <c r="H2398" s="3" t="s">
        <v>2938</v>
      </c>
    </row>
    <row r="2399" spans="1:8" ht="13.8" x14ac:dyDescent="0.25">
      <c r="A2399" s="3" t="s">
        <v>2902</v>
      </c>
      <c r="B2399" s="3" t="s">
        <v>2940</v>
      </c>
      <c r="C2399" s="4" t="str">
        <f>HYPERLINK("http://www.rncp.cncp.gouv.fr/grand-public/visualisationFiche?format=fr&amp;fiche=16686","16686")</f>
        <v>16686</v>
      </c>
      <c r="D2399" s="4" t="str">
        <f>HYPERLINK("http://www.intercariforef.org/formations/certification-76684.html","76684")</f>
        <v>76684</v>
      </c>
      <c r="E2399" s="5">
        <v>162814</v>
      </c>
      <c r="F2399" s="5" t="s">
        <v>721</v>
      </c>
      <c r="G2399" s="5" t="s">
        <v>11</v>
      </c>
      <c r="H2399" s="3" t="s">
        <v>2941</v>
      </c>
    </row>
    <row r="2400" spans="1:8" ht="27.6" x14ac:dyDescent="0.25">
      <c r="A2400" s="3" t="s">
        <v>2902</v>
      </c>
      <c r="B2400" s="3" t="s">
        <v>2942</v>
      </c>
      <c r="C2400" s="4" t="str">
        <f>HYPERLINK("http://www.rncp.cncp.gouv.fr/grand-public/visualisationFiche?format=fr&amp;fiche=13711","13711")</f>
        <v>13711</v>
      </c>
      <c r="D2400" s="4" t="str">
        <f>HYPERLINK("http://www.intercariforef.org/formations/certification-80824.html","80824")</f>
        <v>80824</v>
      </c>
      <c r="E2400" s="5">
        <v>162816</v>
      </c>
      <c r="F2400" s="5" t="s">
        <v>721</v>
      </c>
      <c r="G2400" s="5" t="s">
        <v>11</v>
      </c>
      <c r="H2400" s="3" t="s">
        <v>2943</v>
      </c>
    </row>
    <row r="2401" spans="1:8" ht="27.6" x14ac:dyDescent="0.25">
      <c r="A2401" s="3" t="s">
        <v>2902</v>
      </c>
      <c r="B2401" s="3" t="s">
        <v>2944</v>
      </c>
      <c r="C2401" s="4" t="str">
        <f>HYPERLINK("http://www.rncp.cncp.gouv.fr/grand-public/visualisationFiche?format=fr&amp;fiche=13711","13711")</f>
        <v>13711</v>
      </c>
      <c r="D2401" s="4" t="str">
        <f>HYPERLINK("http://www.intercariforef.org/formations/certification-80823.html","80823")</f>
        <v>80823</v>
      </c>
      <c r="E2401" s="5">
        <v>162815</v>
      </c>
      <c r="F2401" s="5" t="s">
        <v>721</v>
      </c>
      <c r="G2401" s="5" t="s">
        <v>11</v>
      </c>
      <c r="H2401" s="3" t="s">
        <v>2943</v>
      </c>
    </row>
    <row r="2402" spans="1:8" ht="27.6" x14ac:dyDescent="0.25">
      <c r="A2402" s="3" t="s">
        <v>2902</v>
      </c>
      <c r="B2402" s="3" t="s">
        <v>2945</v>
      </c>
      <c r="C2402" s="4" t="str">
        <f>HYPERLINK("http://www.rncp.cncp.gouv.fr/grand-public/visualisationFiche?format=fr&amp;fiche=13711","13711")</f>
        <v>13711</v>
      </c>
      <c r="D2402" s="4" t="str">
        <f>HYPERLINK("http://www.intercariforef.org/formations/certification-80825.html","80825")</f>
        <v>80825</v>
      </c>
      <c r="E2402" s="5">
        <v>162817</v>
      </c>
      <c r="F2402" s="5" t="s">
        <v>721</v>
      </c>
      <c r="G2402" s="5" t="s">
        <v>11</v>
      </c>
      <c r="H2402" s="3" t="s">
        <v>2943</v>
      </c>
    </row>
    <row r="2403" spans="1:8" ht="13.8" x14ac:dyDescent="0.25">
      <c r="A2403" s="3" t="s">
        <v>2902</v>
      </c>
      <c r="B2403" s="3" t="s">
        <v>2946</v>
      </c>
      <c r="C2403" s="4" t="str">
        <f>HYPERLINK("http://www.rncp.cncp.gouv.fr/grand-public/visualisationFiche?format=fr&amp;fiche=17335","17335")</f>
        <v>17335</v>
      </c>
      <c r="D2403" s="4" t="str">
        <f>HYPERLINK("http://www.intercariforef.org/formations/certification-78467.html","78467")</f>
        <v>78467</v>
      </c>
      <c r="E2403" s="5">
        <v>162818</v>
      </c>
      <c r="F2403" s="5" t="s">
        <v>721</v>
      </c>
      <c r="G2403" s="5" t="s">
        <v>11</v>
      </c>
      <c r="H2403" s="3" t="s">
        <v>2947</v>
      </c>
    </row>
    <row r="2404" spans="1:8" ht="27.6" x14ac:dyDescent="0.25">
      <c r="A2404" s="3" t="s">
        <v>2902</v>
      </c>
      <c r="B2404" s="3" t="s">
        <v>2948</v>
      </c>
      <c r="C2404" s="4" t="str">
        <f>HYPERLINK("http://www.rncp.cncp.gouv.fr/grand-public/visualisationFiche?format=fr&amp;fiche=20624","20624")</f>
        <v>20624</v>
      </c>
      <c r="D2404" s="4" t="str">
        <f>HYPERLINK("http://www.intercariforef.org/formations/certification-83252.html","83252")</f>
        <v>83252</v>
      </c>
      <c r="E2404" s="5">
        <v>162819</v>
      </c>
      <c r="F2404" s="5" t="s">
        <v>721</v>
      </c>
      <c r="G2404" s="5" t="s">
        <v>11</v>
      </c>
      <c r="H2404" s="3" t="s">
        <v>2949</v>
      </c>
    </row>
    <row r="2405" spans="1:8" ht="13.8" x14ac:dyDescent="0.25">
      <c r="A2405" s="3" t="s">
        <v>2902</v>
      </c>
      <c r="B2405" s="3" t="s">
        <v>2950</v>
      </c>
      <c r="C2405" s="4" t="str">
        <f>HYPERLINK("http://www.rncp.cncp.gouv.fr/grand-public/visualisationFiche?format=fr&amp;fiche=14546","14546")</f>
        <v>14546</v>
      </c>
      <c r="D2405" s="4" t="str">
        <f>HYPERLINK("http://www.intercariforef.org/formations/certification-77366.html","77366")</f>
        <v>77366</v>
      </c>
      <c r="E2405" s="5">
        <v>162821</v>
      </c>
      <c r="F2405" s="5" t="s">
        <v>721</v>
      </c>
      <c r="G2405" s="5" t="s">
        <v>11</v>
      </c>
      <c r="H2405" s="3" t="s">
        <v>2951</v>
      </c>
    </row>
    <row r="2406" spans="1:8" ht="13.8" x14ac:dyDescent="0.25">
      <c r="A2406" s="3" t="s">
        <v>2902</v>
      </c>
      <c r="B2406" s="3" t="s">
        <v>2952</v>
      </c>
      <c r="C2406" s="4" t="str">
        <f>HYPERLINK("http://www.rncp.cncp.gouv.fr/grand-public/visualisationFiche?format=fr&amp;fiche=13613","13613")</f>
        <v>13613</v>
      </c>
      <c r="D2406" s="4" t="str">
        <f>HYPERLINK("http://www.intercariforef.org/formations/certification-76740.html","76740")</f>
        <v>76740</v>
      </c>
      <c r="E2406" s="5">
        <v>162825</v>
      </c>
      <c r="F2406" s="5" t="s">
        <v>721</v>
      </c>
      <c r="G2406" s="5" t="s">
        <v>11</v>
      </c>
      <c r="H2406" s="3" t="s">
        <v>2953</v>
      </c>
    </row>
    <row r="2407" spans="1:8" ht="13.8" x14ac:dyDescent="0.25">
      <c r="A2407" s="3" t="s">
        <v>2902</v>
      </c>
      <c r="B2407" s="3" t="s">
        <v>2954</v>
      </c>
      <c r="C2407" s="4" t="str">
        <f>HYPERLINK("http://www.rncp.cncp.gouv.fr/grand-public/visualisationFiche?format=fr&amp;fiche=13398","13398")</f>
        <v>13398</v>
      </c>
      <c r="D2407" s="4" t="str">
        <f>HYPERLINK("http://www.intercariforef.org/formations/certification-69623.html","69623")</f>
        <v>69623</v>
      </c>
      <c r="E2407" s="5">
        <v>162826</v>
      </c>
      <c r="F2407" s="5" t="s">
        <v>721</v>
      </c>
      <c r="G2407" s="5" t="s">
        <v>11</v>
      </c>
      <c r="H2407" s="3" t="s">
        <v>2955</v>
      </c>
    </row>
    <row r="2408" spans="1:8" ht="13.8" x14ac:dyDescent="0.25">
      <c r="A2408" s="3" t="s">
        <v>2902</v>
      </c>
      <c r="B2408" s="3" t="s">
        <v>2956</v>
      </c>
      <c r="C2408" s="4" t="str">
        <f>HYPERLINK("http://www.rncp.cncp.gouv.fr/grand-public/visualisationFiche?format=fr&amp;fiche=15814","15814")</f>
        <v>15814</v>
      </c>
      <c r="D2408" s="4" t="str">
        <f>HYPERLINK("http://www.intercariforef.org/formations/certification-71221.html","71221")</f>
        <v>71221</v>
      </c>
      <c r="E2408" s="5">
        <v>131865</v>
      </c>
      <c r="F2408" s="5" t="s">
        <v>10</v>
      </c>
      <c r="G2408" s="5" t="s">
        <v>11</v>
      </c>
      <c r="H2408" s="3" t="s">
        <v>2268</v>
      </c>
    </row>
    <row r="2409" spans="1:8" ht="13.8" x14ac:dyDescent="0.25">
      <c r="A2409" s="3" t="s">
        <v>2902</v>
      </c>
      <c r="B2409" s="3" t="s">
        <v>2957</v>
      </c>
      <c r="C2409" s="4" t="str">
        <f>HYPERLINK("http://www.rncp.cncp.gouv.fr/grand-public/visualisationFiche?format=fr&amp;fiche=6033","6033")</f>
        <v>6033</v>
      </c>
      <c r="D2409" s="4" t="str">
        <f>HYPERLINK("http://www.intercariforef.org/formations/certification-59609.html","59609")</f>
        <v>59609</v>
      </c>
      <c r="E2409" s="5">
        <v>162827</v>
      </c>
      <c r="F2409" s="5" t="s">
        <v>721</v>
      </c>
      <c r="G2409" s="5" t="s">
        <v>11</v>
      </c>
      <c r="H2409" s="3" t="s">
        <v>2958</v>
      </c>
    </row>
    <row r="2410" spans="1:8" ht="13.8" x14ac:dyDescent="0.25">
      <c r="A2410" s="3" t="s">
        <v>2902</v>
      </c>
      <c r="B2410" s="3" t="s">
        <v>2959</v>
      </c>
      <c r="C2410" s="5"/>
      <c r="D2410" s="4" t="str">
        <f>HYPERLINK("http://www.intercariforef.org/formations/certification-58305.html","58305")</f>
        <v>58305</v>
      </c>
      <c r="E2410" s="5">
        <v>131122</v>
      </c>
      <c r="F2410" s="5" t="s">
        <v>10</v>
      </c>
      <c r="G2410" s="5" t="s">
        <v>11</v>
      </c>
      <c r="H2410" s="3" t="s">
        <v>2960</v>
      </c>
    </row>
    <row r="2411" spans="1:8" ht="13.8" x14ac:dyDescent="0.25">
      <c r="A2411" s="3" t="s">
        <v>2902</v>
      </c>
      <c r="B2411" s="3" t="s">
        <v>2961</v>
      </c>
      <c r="C2411" s="4" t="str">
        <f>HYPERLINK("http://www.rncp.cncp.gouv.fr/grand-public/visualisationFiche?format=fr&amp;fiche=15075","15075")</f>
        <v>15075</v>
      </c>
      <c r="D2411" s="4" t="str">
        <f>HYPERLINK("http://www.intercariforef.org/formations/certification-58306.html","58306")</f>
        <v>58306</v>
      </c>
      <c r="E2411" s="5">
        <v>131112</v>
      </c>
      <c r="F2411" s="5" t="s">
        <v>10</v>
      </c>
      <c r="G2411" s="5" t="s">
        <v>11</v>
      </c>
      <c r="H2411" s="3" t="s">
        <v>2962</v>
      </c>
    </row>
    <row r="2412" spans="1:8" ht="13.8" x14ac:dyDescent="0.25">
      <c r="A2412" s="3" t="s">
        <v>2902</v>
      </c>
      <c r="B2412" s="3" t="s">
        <v>2963</v>
      </c>
      <c r="C2412" s="4" t="str">
        <f>HYPERLINK("http://www.rncp.cncp.gouv.fr/grand-public/visualisationFiche?format=fr&amp;fiche=15075","15075")</f>
        <v>15075</v>
      </c>
      <c r="D2412" s="4" t="str">
        <f>HYPERLINK("http://www.intercariforef.org/formations/certification-58303.html","58303")</f>
        <v>58303</v>
      </c>
      <c r="E2412" s="5">
        <v>131113</v>
      </c>
      <c r="F2412" s="5" t="s">
        <v>10</v>
      </c>
      <c r="G2412" s="5" t="s">
        <v>11</v>
      </c>
      <c r="H2412" s="3" t="s">
        <v>2962</v>
      </c>
    </row>
    <row r="2413" spans="1:8" ht="13.8" x14ac:dyDescent="0.25">
      <c r="A2413" s="3" t="s">
        <v>2902</v>
      </c>
      <c r="B2413" s="3" t="s">
        <v>2964</v>
      </c>
      <c r="C2413" s="5"/>
      <c r="D2413" s="4" t="str">
        <f>HYPERLINK("http://www.intercariforef.org/formations/certification-80546.html","80546")</f>
        <v>80546</v>
      </c>
      <c r="E2413" s="5">
        <v>131138</v>
      </c>
      <c r="F2413" s="5" t="s">
        <v>10</v>
      </c>
      <c r="G2413" s="5" t="s">
        <v>11</v>
      </c>
      <c r="H2413" s="3" t="s">
        <v>2960</v>
      </c>
    </row>
    <row r="2414" spans="1:8" ht="13.8" x14ac:dyDescent="0.25">
      <c r="A2414" s="3" t="s">
        <v>2902</v>
      </c>
      <c r="B2414" s="3" t="s">
        <v>2965</v>
      </c>
      <c r="C2414" s="5"/>
      <c r="D2414" s="4" t="str">
        <f>HYPERLINK("http://www.intercariforef.org/formations/certification-80544.html","80544")</f>
        <v>80544</v>
      </c>
      <c r="E2414" s="5">
        <v>131114</v>
      </c>
      <c r="F2414" s="5" t="s">
        <v>10</v>
      </c>
      <c r="G2414" s="5" t="s">
        <v>11</v>
      </c>
      <c r="H2414" s="3" t="s">
        <v>2960</v>
      </c>
    </row>
    <row r="2415" spans="1:8" ht="13.8" x14ac:dyDescent="0.25">
      <c r="A2415" s="3" t="s">
        <v>2902</v>
      </c>
      <c r="B2415" s="3" t="s">
        <v>2966</v>
      </c>
      <c r="C2415" s="4" t="str">
        <f>HYPERLINK("http://www.rncp.cncp.gouv.fr/grand-public/visualisationFiche?format=fr&amp;fiche=22074","22074")</f>
        <v>22074</v>
      </c>
      <c r="D2415" s="4" t="str">
        <f>HYPERLINK("http://www.intercariforef.org/formations/certification-79684.html","79684")</f>
        <v>79684</v>
      </c>
      <c r="E2415" s="5">
        <v>131849</v>
      </c>
      <c r="F2415" s="5" t="s">
        <v>10</v>
      </c>
      <c r="G2415" s="5" t="s">
        <v>11</v>
      </c>
      <c r="H2415" s="3" t="s">
        <v>2967</v>
      </c>
    </row>
    <row r="2416" spans="1:8" ht="13.8" x14ac:dyDescent="0.25">
      <c r="A2416" s="3" t="s">
        <v>2902</v>
      </c>
      <c r="B2416" s="3" t="s">
        <v>2968</v>
      </c>
      <c r="C2416" s="4" t="str">
        <f>HYPERLINK("http://www.rncp.cncp.gouv.fr/grand-public/visualisationFiche?format=fr&amp;fiche=22937","22937")</f>
        <v>22937</v>
      </c>
      <c r="D2416" s="4" t="str">
        <f>HYPERLINK("http://www.intercariforef.org/formations/certification-50285.html","50285")</f>
        <v>50285</v>
      </c>
      <c r="E2416" s="5">
        <v>2956</v>
      </c>
      <c r="F2416" s="5" t="s">
        <v>10</v>
      </c>
      <c r="G2416" s="5" t="s">
        <v>11</v>
      </c>
      <c r="H2416" s="3" t="s">
        <v>2969</v>
      </c>
    </row>
    <row r="2417" spans="1:8" ht="13.8" x14ac:dyDescent="0.25">
      <c r="A2417" s="3" t="s">
        <v>2902</v>
      </c>
      <c r="B2417" s="3" t="s">
        <v>2970</v>
      </c>
      <c r="C2417" s="5"/>
      <c r="D2417" s="4" t="str">
        <f>HYPERLINK("http://www.intercariforef.org/formations/certification-58271.html","58271")</f>
        <v>58271</v>
      </c>
      <c r="E2417" s="5">
        <v>130812</v>
      </c>
      <c r="F2417" s="5" t="s">
        <v>10</v>
      </c>
      <c r="G2417" s="5" t="s">
        <v>11</v>
      </c>
      <c r="H2417" s="3" t="s">
        <v>2960</v>
      </c>
    </row>
    <row r="2418" spans="1:8" ht="13.8" x14ac:dyDescent="0.25">
      <c r="A2418" s="3" t="s">
        <v>2902</v>
      </c>
      <c r="B2418" s="3" t="s">
        <v>2971</v>
      </c>
      <c r="C2418" s="5"/>
      <c r="D2418" s="4" t="str">
        <f>HYPERLINK("http://www.intercariforef.org/formations/certification-83266.html","83266")</f>
        <v>83266</v>
      </c>
      <c r="E2418" s="5">
        <v>131927</v>
      </c>
      <c r="F2418" s="5" t="s">
        <v>10</v>
      </c>
      <c r="G2418" s="5" t="s">
        <v>11</v>
      </c>
      <c r="H2418" s="3" t="s">
        <v>2960</v>
      </c>
    </row>
    <row r="2419" spans="1:8" ht="27.6" x14ac:dyDescent="0.25">
      <c r="A2419" s="3" t="s">
        <v>2902</v>
      </c>
      <c r="B2419" s="3" t="s">
        <v>2972</v>
      </c>
      <c r="C2419" s="4" t="str">
        <f>HYPERLINK("http://www.rncp.cncp.gouv.fr/grand-public/visualisationFiche?format=fr&amp;fiche=4078","4078")</f>
        <v>4078</v>
      </c>
      <c r="D2419" s="4" t="str">
        <f>HYPERLINK("http://www.intercariforef.org/formations/certification-47367.html","47367")</f>
        <v>47367</v>
      </c>
      <c r="E2419" s="5">
        <v>131866</v>
      </c>
      <c r="F2419" s="5" t="s">
        <v>10</v>
      </c>
      <c r="G2419" s="5" t="s">
        <v>11</v>
      </c>
      <c r="H2419" s="3" t="s">
        <v>2923</v>
      </c>
    </row>
    <row r="2420" spans="1:8" ht="13.8" x14ac:dyDescent="0.25">
      <c r="A2420" s="3" t="s">
        <v>2902</v>
      </c>
      <c r="B2420" s="3" t="s">
        <v>2973</v>
      </c>
      <c r="C2420" s="4" t="str">
        <f>HYPERLINK("http://www.rncp.cncp.gouv.fr/grand-public/visualisationFiche?format=fr&amp;fiche=9110","9110")</f>
        <v>9110</v>
      </c>
      <c r="D2420" s="4" t="str">
        <f>HYPERLINK("http://www.intercariforef.org/formations/certification-80020.html","80020")</f>
        <v>80020</v>
      </c>
      <c r="E2420" s="5">
        <v>162831</v>
      </c>
      <c r="F2420" s="5" t="s">
        <v>721</v>
      </c>
      <c r="G2420" s="5" t="s">
        <v>11</v>
      </c>
      <c r="H2420" s="3" t="s">
        <v>2974</v>
      </c>
    </row>
    <row r="2421" spans="1:8" ht="13.8" x14ac:dyDescent="0.25">
      <c r="A2421" s="3" t="s">
        <v>2902</v>
      </c>
      <c r="B2421" s="3" t="s">
        <v>2975</v>
      </c>
      <c r="C2421" s="4" t="str">
        <f>HYPERLINK("http://www.rncp.cncp.gouv.fr/grand-public/visualisationFiche?format=fr&amp;fiche=6599","6599")</f>
        <v>6599</v>
      </c>
      <c r="D2421" s="4" t="str">
        <f>HYPERLINK("http://www.intercariforef.org/formations/certification-79365.html","79365")</f>
        <v>79365</v>
      </c>
      <c r="E2421" s="5">
        <v>162832</v>
      </c>
      <c r="F2421" s="5" t="s">
        <v>721</v>
      </c>
      <c r="G2421" s="5" t="s">
        <v>11</v>
      </c>
      <c r="H2421" s="3" t="s">
        <v>2976</v>
      </c>
    </row>
    <row r="2422" spans="1:8" ht="13.8" x14ac:dyDescent="0.25">
      <c r="A2422" s="3" t="s">
        <v>2902</v>
      </c>
      <c r="B2422" s="3" t="s">
        <v>2977</v>
      </c>
      <c r="C2422" s="4" t="str">
        <f>HYPERLINK("http://www.rncp.cncp.gouv.fr/grand-public/visualisationFiche?format=fr&amp;fiche=6043","6043")</f>
        <v>6043</v>
      </c>
      <c r="D2422" s="4" t="str">
        <f>HYPERLINK("http://www.intercariforef.org/formations/certification-54067.html","54067")</f>
        <v>54067</v>
      </c>
      <c r="E2422" s="5">
        <v>162829</v>
      </c>
      <c r="F2422" s="5" t="s">
        <v>721</v>
      </c>
      <c r="G2422" s="5" t="s">
        <v>11</v>
      </c>
      <c r="H2422" s="3" t="s">
        <v>2978</v>
      </c>
    </row>
    <row r="2423" spans="1:8" ht="13.8" x14ac:dyDescent="0.25">
      <c r="A2423" s="3" t="s">
        <v>2902</v>
      </c>
      <c r="B2423" s="3" t="s">
        <v>2979</v>
      </c>
      <c r="C2423" s="4" t="str">
        <f>HYPERLINK("http://www.rncp.cncp.gouv.fr/grand-public/visualisationFiche?format=fr&amp;fiche=13086","13086")</f>
        <v>13086</v>
      </c>
      <c r="D2423" s="4" t="str">
        <f>HYPERLINK("http://www.intercariforef.org/formations/certification-63733.html","63733")</f>
        <v>63733</v>
      </c>
      <c r="E2423" s="5">
        <v>162830</v>
      </c>
      <c r="F2423" s="5" t="s">
        <v>721</v>
      </c>
      <c r="G2423" s="5" t="s">
        <v>11</v>
      </c>
      <c r="H2423" s="3" t="s">
        <v>2980</v>
      </c>
    </row>
    <row r="2424" spans="1:8" ht="13.8" x14ac:dyDescent="0.25">
      <c r="A2424" s="3" t="s">
        <v>2902</v>
      </c>
      <c r="B2424" s="3" t="s">
        <v>2981</v>
      </c>
      <c r="C2424" s="5"/>
      <c r="D2424" s="4" t="str">
        <f>HYPERLINK("http://www.intercariforef.org/formations/certification-80550.html","80550")</f>
        <v>80550</v>
      </c>
      <c r="E2424" s="5">
        <v>130816</v>
      </c>
      <c r="F2424" s="5" t="s">
        <v>10</v>
      </c>
      <c r="G2424" s="5" t="s">
        <v>11</v>
      </c>
      <c r="H2424" s="3" t="s">
        <v>2960</v>
      </c>
    </row>
    <row r="2425" spans="1:8" ht="27.6" x14ac:dyDescent="0.25">
      <c r="A2425" s="3" t="s">
        <v>2902</v>
      </c>
      <c r="B2425" s="3" t="s">
        <v>2982</v>
      </c>
      <c r="C2425" s="4" t="str">
        <f>HYPERLINK("http://www.rncp.cncp.gouv.fr/grand-public/visualisationFiche?format=fr&amp;fiche=16221","16221")</f>
        <v>16221</v>
      </c>
      <c r="D2425" s="4" t="str">
        <f>HYPERLINK("http://www.intercariforef.org/formations/certification-54110.html","54110")</f>
        <v>54110</v>
      </c>
      <c r="E2425" s="5">
        <v>131867</v>
      </c>
      <c r="F2425" s="5" t="s">
        <v>10</v>
      </c>
      <c r="G2425" s="5" t="s">
        <v>11</v>
      </c>
      <c r="H2425" s="3" t="s">
        <v>2983</v>
      </c>
    </row>
    <row r="2426" spans="1:8" ht="13.8" x14ac:dyDescent="0.25">
      <c r="A2426" s="3" t="s">
        <v>2902</v>
      </c>
      <c r="B2426" s="3" t="s">
        <v>2984</v>
      </c>
      <c r="C2426" s="5"/>
      <c r="D2426" s="4" t="str">
        <f>HYPERLINK("http://www.intercariforef.org/formations/certification-58307.html","58307")</f>
        <v>58307</v>
      </c>
      <c r="E2426" s="5">
        <v>131125</v>
      </c>
      <c r="F2426" s="5" t="s">
        <v>10</v>
      </c>
      <c r="G2426" s="5" t="s">
        <v>11</v>
      </c>
      <c r="H2426" s="3" t="s">
        <v>2960</v>
      </c>
    </row>
    <row r="2427" spans="1:8" ht="27.6" x14ac:dyDescent="0.25">
      <c r="A2427" s="3" t="s">
        <v>2902</v>
      </c>
      <c r="B2427" s="3" t="s">
        <v>2985</v>
      </c>
      <c r="C2427" s="4" t="str">
        <f>HYPERLINK("http://www.rncp.cncp.gouv.fr/grand-public/visualisationFiche?format=fr&amp;fiche=12383","12383")</f>
        <v>12383</v>
      </c>
      <c r="D2427" s="4" t="str">
        <f>HYPERLINK("http://www.intercariforef.org/formations/certification-73634.html","73634")</f>
        <v>73634</v>
      </c>
      <c r="E2427" s="5">
        <v>131868</v>
      </c>
      <c r="F2427" s="5" t="s">
        <v>10</v>
      </c>
      <c r="G2427" s="5" t="s">
        <v>11</v>
      </c>
      <c r="H2427" s="3" t="s">
        <v>2923</v>
      </c>
    </row>
    <row r="2428" spans="1:8" ht="13.8" x14ac:dyDescent="0.25">
      <c r="A2428" s="3" t="s">
        <v>2902</v>
      </c>
      <c r="B2428" s="3" t="s">
        <v>2986</v>
      </c>
      <c r="C2428" s="5"/>
      <c r="D2428" s="4" t="str">
        <f>HYPERLINK("http://www.intercariforef.org/formations/certification-80552.html","80552")</f>
        <v>80552</v>
      </c>
      <c r="E2428" s="5">
        <v>131115</v>
      </c>
      <c r="F2428" s="5" t="s">
        <v>10</v>
      </c>
      <c r="G2428" s="5" t="s">
        <v>11</v>
      </c>
      <c r="H2428" s="3" t="s">
        <v>2960</v>
      </c>
    </row>
    <row r="2429" spans="1:8" ht="13.8" x14ac:dyDescent="0.25">
      <c r="A2429" s="3" t="s">
        <v>2902</v>
      </c>
      <c r="B2429" s="3" t="s">
        <v>2987</v>
      </c>
      <c r="C2429" s="5"/>
      <c r="D2429" s="4" t="str">
        <f>HYPERLINK("http://www.intercariforef.org/formations/certification-80553.html","80553")</f>
        <v>80553</v>
      </c>
      <c r="E2429" s="5">
        <v>131116</v>
      </c>
      <c r="F2429" s="5" t="s">
        <v>10</v>
      </c>
      <c r="G2429" s="5" t="s">
        <v>11</v>
      </c>
      <c r="H2429" s="3" t="s">
        <v>2960</v>
      </c>
    </row>
    <row r="2430" spans="1:8" ht="13.8" x14ac:dyDescent="0.25">
      <c r="A2430" s="3" t="s">
        <v>2902</v>
      </c>
      <c r="B2430" s="3" t="s">
        <v>2988</v>
      </c>
      <c r="C2430" s="5"/>
      <c r="D2430" s="4" t="str">
        <f>HYPERLINK("http://www.intercariforef.org/formations/certification-50278.html","50278")</f>
        <v>50278</v>
      </c>
      <c r="E2430" s="5">
        <v>132042</v>
      </c>
      <c r="F2430" s="5" t="s">
        <v>10</v>
      </c>
      <c r="G2430" s="5" t="s">
        <v>11</v>
      </c>
      <c r="H2430" s="3" t="s">
        <v>2989</v>
      </c>
    </row>
    <row r="2431" spans="1:8" ht="13.8" x14ac:dyDescent="0.25">
      <c r="A2431" s="3" t="s">
        <v>2902</v>
      </c>
      <c r="B2431" s="3" t="s">
        <v>2990</v>
      </c>
      <c r="C2431" s="5"/>
      <c r="D2431" s="4" t="str">
        <f>HYPERLINK("http://www.intercariforef.org/formations/certification-80547.html","80547")</f>
        <v>80547</v>
      </c>
      <c r="E2431" s="5">
        <v>131928</v>
      </c>
      <c r="F2431" s="5" t="s">
        <v>10</v>
      </c>
      <c r="G2431" s="5" t="s">
        <v>11</v>
      </c>
      <c r="H2431" s="3" t="s">
        <v>2960</v>
      </c>
    </row>
    <row r="2432" spans="1:8" ht="13.8" x14ac:dyDescent="0.25">
      <c r="A2432" s="3" t="s">
        <v>2902</v>
      </c>
      <c r="B2432" s="3" t="s">
        <v>2991</v>
      </c>
      <c r="C2432" s="4" t="str">
        <f>HYPERLINK("http://www.rncp.cncp.gouv.fr/grand-public/visualisationFiche?format=fr&amp;fiche=14545","14545")</f>
        <v>14545</v>
      </c>
      <c r="D2432" s="4" t="str">
        <f>HYPERLINK("http://www.intercariforef.org/formations/certification-63242.html","63242")</f>
        <v>63242</v>
      </c>
      <c r="E2432" s="5">
        <v>146879</v>
      </c>
      <c r="F2432" s="5" t="s">
        <v>10</v>
      </c>
      <c r="G2432" s="5" t="s">
        <v>11</v>
      </c>
      <c r="H2432" s="3" t="s">
        <v>2992</v>
      </c>
    </row>
    <row r="2433" spans="1:8" ht="27.6" x14ac:dyDescent="0.25">
      <c r="A2433" s="3" t="s">
        <v>2902</v>
      </c>
      <c r="B2433" s="3" t="s">
        <v>2993</v>
      </c>
      <c r="C2433" s="4" t="str">
        <f>HYPERLINK("http://www.rncp.cncp.gouv.fr/grand-public/visualisationFiche?format=fr&amp;fiche=6595","6595")</f>
        <v>6595</v>
      </c>
      <c r="D2433" s="4" t="str">
        <f>HYPERLINK("http://www.intercariforef.org/formations/certification-57738.html","57738")</f>
        <v>57738</v>
      </c>
      <c r="E2433" s="5">
        <v>131869</v>
      </c>
      <c r="F2433" s="5" t="s">
        <v>10</v>
      </c>
      <c r="G2433" s="5" t="s">
        <v>11</v>
      </c>
      <c r="H2433" s="3" t="s">
        <v>2994</v>
      </c>
    </row>
    <row r="2434" spans="1:8" ht="13.8" x14ac:dyDescent="0.25">
      <c r="A2434" s="3" t="s">
        <v>2902</v>
      </c>
      <c r="B2434" s="3" t="s">
        <v>2995</v>
      </c>
      <c r="C2434" s="4" t="str">
        <f>HYPERLINK("http://www.rncp.cncp.gouv.fr/grand-public/visualisationFiche?format=fr&amp;fiche=22072","22072")</f>
        <v>22072</v>
      </c>
      <c r="D2434" s="4" t="str">
        <f>HYPERLINK("http://www.intercariforef.org/formations/certification-79688.html","79688")</f>
        <v>79688</v>
      </c>
      <c r="E2434" s="5">
        <v>131850</v>
      </c>
      <c r="F2434" s="5" t="s">
        <v>10</v>
      </c>
      <c r="G2434" s="5" t="s">
        <v>11</v>
      </c>
      <c r="H2434" s="3" t="s">
        <v>2967</v>
      </c>
    </row>
    <row r="2435" spans="1:8" ht="13.8" x14ac:dyDescent="0.25">
      <c r="A2435" s="3" t="s">
        <v>2902</v>
      </c>
      <c r="B2435" s="3" t="s">
        <v>2996</v>
      </c>
      <c r="C2435" s="5"/>
      <c r="D2435" s="4" t="str">
        <f>HYPERLINK("http://www.intercariforef.org/formations/certification-54029.html","54029")</f>
        <v>54029</v>
      </c>
      <c r="E2435" s="5">
        <v>131870</v>
      </c>
      <c r="F2435" s="5" t="s">
        <v>10</v>
      </c>
      <c r="G2435" s="5" t="s">
        <v>11</v>
      </c>
      <c r="H2435" s="3" t="s">
        <v>2997</v>
      </c>
    </row>
    <row r="2436" spans="1:8" ht="13.8" x14ac:dyDescent="0.25">
      <c r="A2436" s="3" t="s">
        <v>2902</v>
      </c>
      <c r="B2436" s="3" t="s">
        <v>2998</v>
      </c>
      <c r="C2436" s="5"/>
      <c r="D2436" s="4" t="str">
        <f>HYPERLINK("http://www.intercariforef.org/formations/certification-80545.html","80545")</f>
        <v>80545</v>
      </c>
      <c r="E2436" s="5">
        <v>130972</v>
      </c>
      <c r="F2436" s="5" t="s">
        <v>10</v>
      </c>
      <c r="G2436" s="5" t="s">
        <v>11</v>
      </c>
      <c r="H2436" s="3" t="s">
        <v>2960</v>
      </c>
    </row>
    <row r="2437" spans="1:8" ht="27.6" x14ac:dyDescent="0.25">
      <c r="A2437" s="3" t="s">
        <v>2902</v>
      </c>
      <c r="B2437" s="3" t="s">
        <v>2999</v>
      </c>
      <c r="C2437" s="4" t="str">
        <f>HYPERLINK("http://www.rncp.cncp.gouv.fr/grand-public/visualisationFiche?format=fr&amp;fiche=14881","14881")</f>
        <v>14881</v>
      </c>
      <c r="D2437" s="4" t="str">
        <f>HYPERLINK("http://www.intercariforef.org/formations/certification-77686.html","77686")</f>
        <v>77686</v>
      </c>
      <c r="E2437" s="5">
        <v>131871</v>
      </c>
      <c r="F2437" s="5" t="s">
        <v>10</v>
      </c>
      <c r="G2437" s="5" t="s">
        <v>11</v>
      </c>
      <c r="H2437" s="3" t="s">
        <v>2983</v>
      </c>
    </row>
    <row r="2438" spans="1:8" ht="13.8" x14ac:dyDescent="0.25">
      <c r="A2438" s="3" t="s">
        <v>2902</v>
      </c>
      <c r="B2438" s="3" t="s">
        <v>3000</v>
      </c>
      <c r="C2438" s="5"/>
      <c r="D2438" s="4" t="str">
        <f>HYPERLINK("http://www.intercariforef.org/formations/certification-83948.html","83948")</f>
        <v>83948</v>
      </c>
      <c r="E2438" s="5">
        <v>130813</v>
      </c>
      <c r="F2438" s="5" t="s">
        <v>10</v>
      </c>
      <c r="G2438" s="5" t="s">
        <v>11</v>
      </c>
      <c r="H2438" s="3" t="s">
        <v>2960</v>
      </c>
    </row>
    <row r="2439" spans="1:8" ht="13.8" x14ac:dyDescent="0.25">
      <c r="A2439" s="3" t="s">
        <v>2902</v>
      </c>
      <c r="B2439" s="3" t="s">
        <v>3001</v>
      </c>
      <c r="C2439" s="4" t="str">
        <f>HYPERLINK("http://www.rncp.cncp.gouv.fr/grand-public/visualisationFiche?format=fr&amp;fiche=20609","20609")</f>
        <v>20609</v>
      </c>
      <c r="D2439" s="4" t="str">
        <f>HYPERLINK("http://www.intercariforef.org/formations/certification-80011.html","80011")</f>
        <v>80011</v>
      </c>
      <c r="E2439" s="5">
        <v>131872</v>
      </c>
      <c r="F2439" s="5" t="s">
        <v>10</v>
      </c>
      <c r="G2439" s="5" t="s">
        <v>11</v>
      </c>
      <c r="H2439" s="3" t="s">
        <v>3002</v>
      </c>
    </row>
    <row r="2440" spans="1:8" ht="13.8" x14ac:dyDescent="0.25">
      <c r="A2440" s="3" t="s">
        <v>2902</v>
      </c>
      <c r="B2440" s="3" t="s">
        <v>3003</v>
      </c>
      <c r="C2440" s="5"/>
      <c r="D2440" s="4" t="str">
        <f>HYPERLINK("http://www.intercariforef.org/formations/certification-50279.html","50279")</f>
        <v>50279</v>
      </c>
      <c r="E2440" s="5">
        <v>132043</v>
      </c>
      <c r="F2440" s="5" t="s">
        <v>10</v>
      </c>
      <c r="G2440" s="5" t="s">
        <v>11</v>
      </c>
      <c r="H2440" s="3" t="s">
        <v>2989</v>
      </c>
    </row>
    <row r="2441" spans="1:8" ht="13.8" x14ac:dyDescent="0.25">
      <c r="A2441" s="3" t="s">
        <v>2902</v>
      </c>
      <c r="B2441" s="3" t="s">
        <v>3004</v>
      </c>
      <c r="C2441" s="5"/>
      <c r="D2441" s="4" t="str">
        <f>HYPERLINK("http://www.intercariforef.org/formations/certification-50280.html","50280")</f>
        <v>50280</v>
      </c>
      <c r="E2441" s="5">
        <v>132044</v>
      </c>
      <c r="F2441" s="5" t="s">
        <v>10</v>
      </c>
      <c r="G2441" s="5" t="s">
        <v>11</v>
      </c>
      <c r="H2441" s="3" t="s">
        <v>2989</v>
      </c>
    </row>
    <row r="2442" spans="1:8" ht="27.6" x14ac:dyDescent="0.25">
      <c r="A2442" s="3" t="s">
        <v>2902</v>
      </c>
      <c r="B2442" s="3" t="s">
        <v>3005</v>
      </c>
      <c r="C2442" s="4" t="str">
        <f>HYPERLINK("http://www.rncp.cncp.gouv.fr/grand-public/visualisationFiche?format=fr&amp;fiche=13610","13610")</f>
        <v>13610</v>
      </c>
      <c r="D2442" s="4" t="str">
        <f>HYPERLINK("http://www.intercariforef.org/formations/certification-50364.html","50364")</f>
        <v>50364</v>
      </c>
      <c r="E2442" s="5">
        <v>131873</v>
      </c>
      <c r="F2442" s="5" t="s">
        <v>10</v>
      </c>
      <c r="G2442" s="5" t="s">
        <v>11</v>
      </c>
      <c r="H2442" s="3" t="s">
        <v>2923</v>
      </c>
    </row>
    <row r="2443" spans="1:8" ht="27.6" x14ac:dyDescent="0.25">
      <c r="A2443" s="3" t="s">
        <v>2902</v>
      </c>
      <c r="B2443" s="3" t="s">
        <v>3006</v>
      </c>
      <c r="C2443" s="5"/>
      <c r="D2443" s="4" t="str">
        <f>HYPERLINK("http://www.intercariforef.org/formations/certification-80568.html","80568")</f>
        <v>80568</v>
      </c>
      <c r="E2443" s="5">
        <v>145304</v>
      </c>
      <c r="F2443" s="5" t="s">
        <v>10</v>
      </c>
      <c r="G2443" s="5" t="s">
        <v>11</v>
      </c>
      <c r="H2443" s="3" t="s">
        <v>3007</v>
      </c>
    </row>
    <row r="2444" spans="1:8" ht="27.6" x14ac:dyDescent="0.25">
      <c r="A2444" s="3" t="s">
        <v>2902</v>
      </c>
      <c r="B2444" s="3" t="s">
        <v>3008</v>
      </c>
      <c r="C2444" s="5"/>
      <c r="D2444" s="4" t="str">
        <f>HYPERLINK("http://www.intercariforef.org/formations/certification-83257.html","83257")</f>
        <v>83257</v>
      </c>
      <c r="E2444" s="5">
        <v>131874</v>
      </c>
      <c r="F2444" s="5" t="s">
        <v>10</v>
      </c>
      <c r="G2444" s="5" t="s">
        <v>11</v>
      </c>
      <c r="H2444" s="3" t="s">
        <v>2923</v>
      </c>
    </row>
    <row r="2445" spans="1:8" ht="13.8" x14ac:dyDescent="0.25">
      <c r="A2445" s="3" t="s">
        <v>2902</v>
      </c>
      <c r="B2445" s="3" t="s">
        <v>3009</v>
      </c>
      <c r="C2445" s="5"/>
      <c r="D2445" s="4" t="str">
        <f>HYPERLINK("http://www.intercariforef.org/formations/certification-50268.html","50268")</f>
        <v>50268</v>
      </c>
      <c r="E2445" s="5">
        <v>130973</v>
      </c>
      <c r="F2445" s="5" t="s">
        <v>10</v>
      </c>
      <c r="G2445" s="5" t="s">
        <v>11</v>
      </c>
      <c r="H2445" s="3" t="s">
        <v>2960</v>
      </c>
    </row>
    <row r="2446" spans="1:8" ht="13.8" x14ac:dyDescent="0.25">
      <c r="A2446" s="3" t="s">
        <v>2902</v>
      </c>
      <c r="B2446" s="3" t="s">
        <v>3010</v>
      </c>
      <c r="C2446" s="5"/>
      <c r="D2446" s="4" t="str">
        <f>HYPERLINK("http://www.intercariforef.org/formations/certification-50267.html","50267")</f>
        <v>50267</v>
      </c>
      <c r="E2446" s="5">
        <v>130974</v>
      </c>
      <c r="F2446" s="5" t="s">
        <v>10</v>
      </c>
      <c r="G2446" s="5" t="s">
        <v>11</v>
      </c>
      <c r="H2446" s="3" t="s">
        <v>2960</v>
      </c>
    </row>
    <row r="2447" spans="1:8" ht="27.6" x14ac:dyDescent="0.25">
      <c r="A2447" s="3" t="s">
        <v>2902</v>
      </c>
      <c r="B2447" s="3" t="s">
        <v>3011</v>
      </c>
      <c r="C2447" s="5"/>
      <c r="D2447" s="4" t="str">
        <f>HYPERLINK("http://www.intercariforef.org/formations/certification-50269.html","50269")</f>
        <v>50269</v>
      </c>
      <c r="E2447" s="5">
        <v>130975</v>
      </c>
      <c r="F2447" s="5" t="s">
        <v>10</v>
      </c>
      <c r="G2447" s="5" t="s">
        <v>11</v>
      </c>
      <c r="H2447" s="3" t="s">
        <v>2960</v>
      </c>
    </row>
    <row r="2448" spans="1:8" ht="13.8" x14ac:dyDescent="0.25">
      <c r="A2448" s="3" t="s">
        <v>2902</v>
      </c>
      <c r="B2448" s="3" t="s">
        <v>3012</v>
      </c>
      <c r="C2448" s="5"/>
      <c r="D2448" s="4" t="str">
        <f>HYPERLINK("http://www.intercariforef.org/formations/certification-23204.html","23204")</f>
        <v>23204</v>
      </c>
      <c r="E2448" s="5">
        <v>130971</v>
      </c>
      <c r="F2448" s="5" t="s">
        <v>10</v>
      </c>
      <c r="G2448" s="5" t="s">
        <v>11</v>
      </c>
      <c r="H2448" s="3" t="s">
        <v>2960</v>
      </c>
    </row>
    <row r="2449" spans="1:8" ht="13.8" x14ac:dyDescent="0.25">
      <c r="A2449" s="3" t="s">
        <v>2902</v>
      </c>
      <c r="B2449" s="3" t="s">
        <v>3013</v>
      </c>
      <c r="C2449" s="5"/>
      <c r="D2449" s="4" t="str">
        <f>HYPERLINK("http://www.intercariforef.org/formations/certification-83946.html","83946")</f>
        <v>83946</v>
      </c>
      <c r="E2449" s="5">
        <v>130970</v>
      </c>
      <c r="F2449" s="5" t="s">
        <v>10</v>
      </c>
      <c r="G2449" s="5" t="s">
        <v>11</v>
      </c>
      <c r="H2449" s="3" t="s">
        <v>2960</v>
      </c>
    </row>
    <row r="2450" spans="1:8" ht="13.8" x14ac:dyDescent="0.25">
      <c r="A2450" s="3" t="s">
        <v>2902</v>
      </c>
      <c r="B2450" s="3" t="s">
        <v>3014</v>
      </c>
      <c r="C2450" s="5"/>
      <c r="D2450" s="4" t="str">
        <f>HYPERLINK("http://www.intercariforef.org/formations/certification-58293.html","58293")</f>
        <v>58293</v>
      </c>
      <c r="E2450" s="5">
        <v>130976</v>
      </c>
      <c r="F2450" s="5" t="s">
        <v>10</v>
      </c>
      <c r="G2450" s="5" t="s">
        <v>11</v>
      </c>
      <c r="H2450" s="3" t="s">
        <v>2960</v>
      </c>
    </row>
    <row r="2451" spans="1:8" ht="13.8" x14ac:dyDescent="0.25">
      <c r="A2451" s="3" t="s">
        <v>2902</v>
      </c>
      <c r="B2451" s="3" t="s">
        <v>3015</v>
      </c>
      <c r="C2451" s="5"/>
      <c r="D2451" s="4" t="str">
        <f>HYPERLINK("http://www.intercariforef.org/formations/certification-83277.html","83277")</f>
        <v>83277</v>
      </c>
      <c r="E2451" s="5">
        <v>130810</v>
      </c>
      <c r="F2451" s="5" t="s">
        <v>10</v>
      </c>
      <c r="G2451" s="5" t="s">
        <v>11</v>
      </c>
      <c r="H2451" s="3" t="s">
        <v>2960</v>
      </c>
    </row>
    <row r="2452" spans="1:8" ht="13.8" x14ac:dyDescent="0.25">
      <c r="A2452" s="3" t="s">
        <v>2902</v>
      </c>
      <c r="B2452" s="3" t="s">
        <v>3016</v>
      </c>
      <c r="C2452" s="5"/>
      <c r="D2452" s="4" t="str">
        <f>HYPERLINK("http://www.intercariforef.org/formations/certification-80556.html","80556")</f>
        <v>80556</v>
      </c>
      <c r="E2452" s="5">
        <v>130814</v>
      </c>
      <c r="F2452" s="5" t="s">
        <v>10</v>
      </c>
      <c r="G2452" s="5" t="s">
        <v>11</v>
      </c>
      <c r="H2452" s="3" t="s">
        <v>2960</v>
      </c>
    </row>
    <row r="2453" spans="1:8" ht="13.8" x14ac:dyDescent="0.25">
      <c r="A2453" s="3" t="s">
        <v>2902</v>
      </c>
      <c r="B2453" s="3" t="s">
        <v>3017</v>
      </c>
      <c r="C2453" s="4" t="str">
        <f>HYPERLINK("http://www.rncp.cncp.gouv.fr/grand-public/visualisationFiche?format=fr&amp;fiche=22081","22081")</f>
        <v>22081</v>
      </c>
      <c r="D2453" s="4" t="str">
        <f>HYPERLINK("http://www.intercariforef.org/formations/certification-79683.html","79683")</f>
        <v>79683</v>
      </c>
      <c r="E2453" s="5">
        <v>131851</v>
      </c>
      <c r="F2453" s="5" t="s">
        <v>10</v>
      </c>
      <c r="G2453" s="5" t="s">
        <v>11</v>
      </c>
      <c r="H2453" s="3" t="s">
        <v>2967</v>
      </c>
    </row>
    <row r="2454" spans="1:8" ht="27.6" x14ac:dyDescent="0.25">
      <c r="A2454" s="3" t="s">
        <v>2902</v>
      </c>
      <c r="B2454" s="3" t="s">
        <v>3018</v>
      </c>
      <c r="C2454" s="5"/>
      <c r="D2454" s="4" t="str">
        <f>HYPERLINK("http://www.intercariforef.org/formations/certification-71231.html","71231")</f>
        <v>71231</v>
      </c>
      <c r="E2454" s="5">
        <v>146885</v>
      </c>
      <c r="F2454" s="5" t="s">
        <v>10</v>
      </c>
      <c r="G2454" s="5" t="s">
        <v>11</v>
      </c>
      <c r="H2454" s="3" t="s">
        <v>3019</v>
      </c>
    </row>
    <row r="2455" spans="1:8" ht="27.6" x14ac:dyDescent="0.25">
      <c r="A2455" s="3" t="s">
        <v>2902</v>
      </c>
      <c r="B2455" s="3" t="s">
        <v>3020</v>
      </c>
      <c r="C2455" s="4" t="str">
        <f>HYPERLINK("http://www.rncp.cncp.gouv.fr/grand-public/visualisationFiche?format=fr&amp;fiche=18302","18302")</f>
        <v>18302</v>
      </c>
      <c r="D2455" s="4" t="str">
        <f>HYPERLINK("http://www.intercariforef.org/formations/certification-71225.html","71225")</f>
        <v>71225</v>
      </c>
      <c r="E2455" s="5">
        <v>146886</v>
      </c>
      <c r="F2455" s="5" t="s">
        <v>10</v>
      </c>
      <c r="G2455" s="5" t="s">
        <v>11</v>
      </c>
      <c r="H2455" s="3" t="s">
        <v>3021</v>
      </c>
    </row>
    <row r="2456" spans="1:8" ht="13.8" x14ac:dyDescent="0.25">
      <c r="A2456" s="3" t="s">
        <v>2902</v>
      </c>
      <c r="B2456" s="3" t="s">
        <v>3022</v>
      </c>
      <c r="C2456" s="4" t="str">
        <f>HYPERLINK("http://www.rncp.cncp.gouv.fr/grand-public/visualisationFiche?format=fr&amp;fiche=12202","12202")</f>
        <v>12202</v>
      </c>
      <c r="D2456" s="4" t="str">
        <f>HYPERLINK("http://www.intercariforef.org/formations/certification-50266.html","50266")</f>
        <v>50266</v>
      </c>
      <c r="E2456" s="5">
        <v>131108</v>
      </c>
      <c r="F2456" s="5" t="s">
        <v>10</v>
      </c>
      <c r="G2456" s="5" t="s">
        <v>11</v>
      </c>
      <c r="H2456" s="3" t="s">
        <v>2962</v>
      </c>
    </row>
    <row r="2457" spans="1:8" ht="13.8" x14ac:dyDescent="0.25">
      <c r="A2457" s="3" t="s">
        <v>2902</v>
      </c>
      <c r="B2457" s="3" t="s">
        <v>3023</v>
      </c>
      <c r="C2457" s="4" t="str">
        <f>HYPERLINK("http://www.rncp.cncp.gouv.fr/grand-public/visualisationFiche?format=fr&amp;fiche=22080","22080")</f>
        <v>22080</v>
      </c>
      <c r="D2457" s="4" t="str">
        <f>HYPERLINK("http://www.intercariforef.org/formations/certification-79690.html","79690")</f>
        <v>79690</v>
      </c>
      <c r="E2457" s="5">
        <v>131852</v>
      </c>
      <c r="F2457" s="5" t="s">
        <v>10</v>
      </c>
      <c r="G2457" s="5" t="s">
        <v>11</v>
      </c>
      <c r="H2457" s="3" t="s">
        <v>2967</v>
      </c>
    </row>
    <row r="2458" spans="1:8" ht="13.8" x14ac:dyDescent="0.25">
      <c r="A2458" s="3" t="s">
        <v>2902</v>
      </c>
      <c r="B2458" s="3" t="s">
        <v>3024</v>
      </c>
      <c r="C2458" s="5"/>
      <c r="D2458" s="4" t="str">
        <f>HYPERLINK("http://www.intercariforef.org/formations/certification-50696.html","50696")</f>
        <v>50696</v>
      </c>
      <c r="E2458" s="5">
        <v>130817</v>
      </c>
      <c r="F2458" s="5" t="s">
        <v>10</v>
      </c>
      <c r="G2458" s="5" t="s">
        <v>11</v>
      </c>
      <c r="H2458" s="3" t="s">
        <v>2960</v>
      </c>
    </row>
    <row r="2459" spans="1:8" ht="13.8" x14ac:dyDescent="0.25">
      <c r="A2459" s="3" t="s">
        <v>2902</v>
      </c>
      <c r="B2459" s="3" t="s">
        <v>3025</v>
      </c>
      <c r="C2459" s="4" t="str">
        <f>HYPERLINK("http://www.rncp.cncp.gouv.fr/grand-public/visualisationFiche?format=fr&amp;fiche=16267","16267")</f>
        <v>16267</v>
      </c>
      <c r="D2459" s="4" t="str">
        <f>HYPERLINK("http://www.intercariforef.org/formations/certification-80473.html","80473")</f>
        <v>80473</v>
      </c>
      <c r="E2459" s="5">
        <v>131875</v>
      </c>
      <c r="F2459" s="5" t="s">
        <v>10</v>
      </c>
      <c r="G2459" s="5" t="s">
        <v>11</v>
      </c>
      <c r="H2459" s="3" t="s">
        <v>3026</v>
      </c>
    </row>
    <row r="2460" spans="1:8" ht="13.8" x14ac:dyDescent="0.25">
      <c r="A2460" s="3" t="s">
        <v>2902</v>
      </c>
      <c r="B2460" s="3" t="s">
        <v>3027</v>
      </c>
      <c r="C2460" s="5"/>
      <c r="D2460" s="4" t="str">
        <f>HYPERLINK("http://www.intercariforef.org/formations/certification-64388.html","64388")</f>
        <v>64388</v>
      </c>
      <c r="E2460" s="5">
        <v>131876</v>
      </c>
      <c r="F2460" s="5" t="s">
        <v>10</v>
      </c>
      <c r="G2460" s="5" t="s">
        <v>11</v>
      </c>
      <c r="H2460" s="3" t="s">
        <v>3028</v>
      </c>
    </row>
    <row r="2461" spans="1:8" ht="13.8" x14ac:dyDescent="0.25">
      <c r="A2461" s="3" t="s">
        <v>2902</v>
      </c>
      <c r="B2461" s="3" t="s">
        <v>3029</v>
      </c>
      <c r="C2461" s="4" t="str">
        <f>HYPERLINK("http://www.rncp.cncp.gouv.fr/grand-public/visualisationFiche?format=fr&amp;fiche=20608","20608")</f>
        <v>20608</v>
      </c>
      <c r="D2461" s="4" t="str">
        <f>HYPERLINK("http://www.intercariforef.org/formations/certification-80010.html","80010")</f>
        <v>80010</v>
      </c>
      <c r="E2461" s="5">
        <v>131877</v>
      </c>
      <c r="F2461" s="5" t="s">
        <v>10</v>
      </c>
      <c r="G2461" s="5" t="s">
        <v>11</v>
      </c>
      <c r="H2461" s="3" t="s">
        <v>3002</v>
      </c>
    </row>
    <row r="2462" spans="1:8" ht="27.6" x14ac:dyDescent="0.25">
      <c r="A2462" s="3" t="s">
        <v>2902</v>
      </c>
      <c r="B2462" s="3" t="s">
        <v>3030</v>
      </c>
      <c r="C2462" s="4" t="str">
        <f>HYPERLINK("http://www.rncp.cncp.gouv.fr/grand-public/visualisationFiche?format=fr&amp;fiche=18230","18230")</f>
        <v>18230</v>
      </c>
      <c r="D2462" s="4" t="str">
        <f>HYPERLINK("http://www.intercariforef.org/formations/certification-81039.html","81039")</f>
        <v>81039</v>
      </c>
      <c r="E2462" s="5">
        <v>131878</v>
      </c>
      <c r="F2462" s="5" t="s">
        <v>10</v>
      </c>
      <c r="G2462" s="5" t="s">
        <v>11</v>
      </c>
      <c r="H2462" s="3" t="s">
        <v>2923</v>
      </c>
    </row>
    <row r="2463" spans="1:8" ht="27.6" x14ac:dyDescent="0.25">
      <c r="A2463" s="3" t="s">
        <v>2902</v>
      </c>
      <c r="B2463" s="3" t="s">
        <v>3031</v>
      </c>
      <c r="C2463" s="5"/>
      <c r="D2463" s="4" t="str">
        <f>HYPERLINK("http://www.intercariforef.org/formations/certification-83256.html","83256")</f>
        <v>83256</v>
      </c>
      <c r="E2463" s="5">
        <v>131879</v>
      </c>
      <c r="F2463" s="5" t="s">
        <v>10</v>
      </c>
      <c r="G2463" s="5" t="s">
        <v>11</v>
      </c>
      <c r="H2463" s="3" t="s">
        <v>2923</v>
      </c>
    </row>
    <row r="2464" spans="1:8" ht="13.8" x14ac:dyDescent="0.25">
      <c r="A2464" s="3" t="s">
        <v>2902</v>
      </c>
      <c r="B2464" s="3" t="s">
        <v>3032</v>
      </c>
      <c r="C2464" s="5"/>
      <c r="D2464" s="4" t="str">
        <f>HYPERLINK("http://www.intercariforef.org/formations/certification-84647.html","84647")</f>
        <v>84647</v>
      </c>
      <c r="E2464" s="5">
        <v>162693</v>
      </c>
      <c r="F2464" s="5" t="s">
        <v>10</v>
      </c>
      <c r="G2464" s="5" t="s">
        <v>11</v>
      </c>
      <c r="H2464" s="3" t="s">
        <v>3033</v>
      </c>
    </row>
    <row r="2465" spans="1:8" ht="27.6" x14ac:dyDescent="0.25">
      <c r="A2465" s="3" t="s">
        <v>2902</v>
      </c>
      <c r="B2465" s="3" t="s">
        <v>3034</v>
      </c>
      <c r="C2465" s="4" t="str">
        <f>HYPERLINK("http://www.rncp.cncp.gouv.fr/grand-public/visualisationFiche?format=fr&amp;fiche=6598","6598")</f>
        <v>6598</v>
      </c>
      <c r="D2465" s="4" t="str">
        <f>HYPERLINK("http://www.intercariforef.org/formations/certification-60224.html","60224")</f>
        <v>60224</v>
      </c>
      <c r="E2465" s="5">
        <v>148127</v>
      </c>
      <c r="F2465" s="5" t="s">
        <v>10</v>
      </c>
      <c r="G2465" s="5" t="s">
        <v>11</v>
      </c>
      <c r="H2465" s="3" t="s">
        <v>3035</v>
      </c>
    </row>
    <row r="2466" spans="1:8" ht="13.8" x14ac:dyDescent="0.25">
      <c r="A2466" s="3" t="s">
        <v>2902</v>
      </c>
      <c r="B2466" s="3" t="s">
        <v>3036</v>
      </c>
      <c r="C2466" s="5"/>
      <c r="D2466" s="4" t="str">
        <f>HYPERLINK("http://www.intercariforef.org/formations/certification-23131.html","23131")</f>
        <v>23131</v>
      </c>
      <c r="E2466" s="5">
        <v>131126</v>
      </c>
      <c r="F2466" s="5" t="s">
        <v>10</v>
      </c>
      <c r="G2466" s="5" t="s">
        <v>11</v>
      </c>
      <c r="H2466" s="3" t="s">
        <v>2960</v>
      </c>
    </row>
    <row r="2467" spans="1:8" ht="27.6" x14ac:dyDescent="0.25">
      <c r="A2467" s="3" t="s">
        <v>2902</v>
      </c>
      <c r="B2467" s="3" t="s">
        <v>3037</v>
      </c>
      <c r="C2467" s="4" t="str">
        <f>HYPERLINK("http://www.rncp.cncp.gouv.fr/grand-public/visualisationFiche?format=fr&amp;fiche=23028","23028")</f>
        <v>23028</v>
      </c>
      <c r="D2467" s="4" t="str">
        <f>HYPERLINK("http://www.intercariforef.org/formations/certification-82804.html","82804")</f>
        <v>82804</v>
      </c>
      <c r="E2467" s="5">
        <v>131881</v>
      </c>
      <c r="F2467" s="5" t="s">
        <v>10</v>
      </c>
      <c r="G2467" s="5" t="s">
        <v>11</v>
      </c>
      <c r="H2467" s="3" t="s">
        <v>3038</v>
      </c>
    </row>
    <row r="2468" spans="1:8" ht="13.8" x14ac:dyDescent="0.25">
      <c r="A2468" s="3" t="s">
        <v>2902</v>
      </c>
      <c r="B2468" s="3" t="s">
        <v>3039</v>
      </c>
      <c r="C2468" s="5"/>
      <c r="D2468" s="4" t="str">
        <f>HYPERLINK("http://www.intercariforef.org/formations/certification-83551.html","83551")</f>
        <v>83551</v>
      </c>
      <c r="E2468" s="5">
        <v>146887</v>
      </c>
      <c r="F2468" s="5" t="s">
        <v>10</v>
      </c>
      <c r="G2468" s="5" t="s">
        <v>11</v>
      </c>
      <c r="H2468" s="3" t="s">
        <v>2912</v>
      </c>
    </row>
    <row r="2469" spans="1:8" ht="27.6" x14ac:dyDescent="0.25">
      <c r="A2469" s="3" t="s">
        <v>2902</v>
      </c>
      <c r="B2469" s="3" t="s">
        <v>3040</v>
      </c>
      <c r="C2469" s="4" t="str">
        <f>HYPERLINK("http://www.rncp.cncp.gouv.fr/grand-public/visualisationFiche?format=fr&amp;fiche=4077","4077")</f>
        <v>4077</v>
      </c>
      <c r="D2469" s="4" t="str">
        <f>HYPERLINK("http://www.intercariforef.org/formations/certification-50365.html","50365")</f>
        <v>50365</v>
      </c>
      <c r="E2469" s="5">
        <v>131883</v>
      </c>
      <c r="F2469" s="5" t="s">
        <v>10</v>
      </c>
      <c r="G2469" s="5" t="s">
        <v>11</v>
      </c>
      <c r="H2469" s="3" t="s">
        <v>2923</v>
      </c>
    </row>
    <row r="2470" spans="1:8" ht="27.6" x14ac:dyDescent="0.25">
      <c r="A2470" s="3" t="s">
        <v>2902</v>
      </c>
      <c r="B2470" s="3" t="s">
        <v>3041</v>
      </c>
      <c r="C2470" s="4" t="str">
        <f>HYPERLINK("http://www.rncp.cncp.gouv.fr/grand-public/visualisationFiche?format=fr&amp;fiche=13609","13609")</f>
        <v>13609</v>
      </c>
      <c r="D2470" s="4" t="str">
        <f>HYPERLINK("http://www.intercariforef.org/formations/certification-54114.html","54114")</f>
        <v>54114</v>
      </c>
      <c r="E2470" s="5">
        <v>131884</v>
      </c>
      <c r="F2470" s="5" t="s">
        <v>10</v>
      </c>
      <c r="G2470" s="5" t="s">
        <v>11</v>
      </c>
      <c r="H2470" s="3" t="s">
        <v>2923</v>
      </c>
    </row>
    <row r="2471" spans="1:8" ht="13.8" x14ac:dyDescent="0.25">
      <c r="A2471" s="3" t="s">
        <v>2902</v>
      </c>
      <c r="B2471" s="3" t="s">
        <v>3042</v>
      </c>
      <c r="C2471" s="5"/>
      <c r="D2471" s="4" t="str">
        <f>HYPERLINK("http://www.intercariforef.org/formations/certification-50281.html","50281")</f>
        <v>50281</v>
      </c>
      <c r="E2471" s="5">
        <v>132045</v>
      </c>
      <c r="F2471" s="5" t="s">
        <v>10</v>
      </c>
      <c r="G2471" s="5" t="s">
        <v>11</v>
      </c>
      <c r="H2471" s="3" t="s">
        <v>2989</v>
      </c>
    </row>
    <row r="2472" spans="1:8" ht="27.6" x14ac:dyDescent="0.25">
      <c r="A2472" s="3" t="s">
        <v>2902</v>
      </c>
      <c r="B2472" s="3" t="s">
        <v>3043</v>
      </c>
      <c r="C2472" s="4" t="str">
        <f>HYPERLINK("http://www.rncp.cncp.gouv.fr/grand-public/visualisationFiche?format=fr&amp;fiche=13397","13397")</f>
        <v>13397</v>
      </c>
      <c r="D2472" s="4" t="str">
        <f>HYPERLINK("http://www.intercariforef.org/formations/certification-54113.html","54113")</f>
        <v>54113</v>
      </c>
      <c r="E2472" s="5">
        <v>131882</v>
      </c>
      <c r="F2472" s="5" t="s">
        <v>10</v>
      </c>
      <c r="G2472" s="5" t="s">
        <v>11</v>
      </c>
      <c r="H2472" s="3" t="s">
        <v>2923</v>
      </c>
    </row>
    <row r="2473" spans="1:8" ht="13.8" x14ac:dyDescent="0.25">
      <c r="A2473" s="3" t="s">
        <v>2902</v>
      </c>
      <c r="B2473" s="3" t="s">
        <v>3044</v>
      </c>
      <c r="C2473" s="5"/>
      <c r="D2473" s="4" t="str">
        <f>HYPERLINK("http://www.intercariforef.org/formations/certification-58272.html","58272")</f>
        <v>58272</v>
      </c>
      <c r="E2473" s="5">
        <v>131127</v>
      </c>
      <c r="F2473" s="5" t="s">
        <v>10</v>
      </c>
      <c r="G2473" s="5" t="s">
        <v>11</v>
      </c>
      <c r="H2473" s="3" t="s">
        <v>2960</v>
      </c>
    </row>
    <row r="2474" spans="1:8" ht="13.8" x14ac:dyDescent="0.25">
      <c r="A2474" s="3" t="s">
        <v>2902</v>
      </c>
      <c r="B2474" s="3" t="s">
        <v>3045</v>
      </c>
      <c r="C2474" s="5"/>
      <c r="D2474" s="4" t="str">
        <f>HYPERLINK("http://www.intercariforef.org/formations/certification-58302.html","58302")</f>
        <v>58302</v>
      </c>
      <c r="E2474" s="5">
        <v>131128</v>
      </c>
      <c r="F2474" s="5" t="s">
        <v>10</v>
      </c>
      <c r="G2474" s="5" t="s">
        <v>11</v>
      </c>
      <c r="H2474" s="3" t="s">
        <v>2960</v>
      </c>
    </row>
    <row r="2475" spans="1:8" ht="27.6" x14ac:dyDescent="0.25">
      <c r="A2475" s="3" t="s">
        <v>2902</v>
      </c>
      <c r="B2475" s="3" t="s">
        <v>3046</v>
      </c>
      <c r="C2475" s="4" t="str">
        <f>HYPERLINK("http://www.rncp.cncp.gouv.fr/grand-public/visualisationFiche?format=fr&amp;fiche=15287","15287")</f>
        <v>15287</v>
      </c>
      <c r="D2475" s="4" t="str">
        <f>HYPERLINK("http://www.intercariforef.org/formations/certification-59615.html","59615")</f>
        <v>59615</v>
      </c>
      <c r="E2475" s="5">
        <v>131885</v>
      </c>
      <c r="F2475" s="5" t="s">
        <v>10</v>
      </c>
      <c r="G2475" s="5" t="s">
        <v>11</v>
      </c>
      <c r="H2475" s="3" t="s">
        <v>2923</v>
      </c>
    </row>
    <row r="2476" spans="1:8" ht="13.8" x14ac:dyDescent="0.25">
      <c r="A2476" s="3" t="s">
        <v>2902</v>
      </c>
      <c r="B2476" s="3" t="s">
        <v>3047</v>
      </c>
      <c r="C2476" s="5"/>
      <c r="D2476" s="4" t="str">
        <f>HYPERLINK("http://www.intercariforef.org/formations/certification-80557.html","80557")</f>
        <v>80557</v>
      </c>
      <c r="E2476" s="5">
        <v>131129</v>
      </c>
      <c r="F2476" s="5" t="s">
        <v>10</v>
      </c>
      <c r="G2476" s="5" t="s">
        <v>11</v>
      </c>
      <c r="H2476" s="3" t="s">
        <v>2960</v>
      </c>
    </row>
    <row r="2477" spans="1:8" ht="13.8" x14ac:dyDescent="0.25">
      <c r="A2477" s="3" t="s">
        <v>2902</v>
      </c>
      <c r="B2477" s="3" t="s">
        <v>3048</v>
      </c>
      <c r="C2477" s="5"/>
      <c r="D2477" s="4" t="str">
        <f>HYPERLINK("http://www.intercariforef.org/formations/certification-50697.html","50697")</f>
        <v>50697</v>
      </c>
      <c r="E2477" s="5">
        <v>131111</v>
      </c>
      <c r="F2477" s="5" t="s">
        <v>10</v>
      </c>
      <c r="G2477" s="5" t="s">
        <v>11</v>
      </c>
      <c r="H2477" s="3" t="s">
        <v>2960</v>
      </c>
    </row>
    <row r="2478" spans="1:8" ht="13.8" x14ac:dyDescent="0.25">
      <c r="A2478" s="3" t="s">
        <v>2902</v>
      </c>
      <c r="B2478" s="3" t="s">
        <v>3049</v>
      </c>
      <c r="C2478" s="5"/>
      <c r="D2478" s="4" t="str">
        <f>HYPERLINK("http://www.intercariforef.org/formations/certification-50698.html","50698")</f>
        <v>50698</v>
      </c>
      <c r="E2478" s="5">
        <v>131107</v>
      </c>
      <c r="F2478" s="5" t="s">
        <v>10</v>
      </c>
      <c r="G2478" s="5" t="s">
        <v>11</v>
      </c>
      <c r="H2478" s="3" t="s">
        <v>2960</v>
      </c>
    </row>
    <row r="2479" spans="1:8" ht="13.8" x14ac:dyDescent="0.25">
      <c r="A2479" s="3" t="s">
        <v>2902</v>
      </c>
      <c r="B2479" s="3" t="s">
        <v>3050</v>
      </c>
      <c r="C2479" s="4" t="str">
        <f>HYPERLINK("http://www.rncp.cncp.gouv.fr/grand-public/visualisationFiche?format=fr&amp;fiche=14544","14544")</f>
        <v>14544</v>
      </c>
      <c r="D2479" s="4" t="str">
        <f>HYPERLINK("http://www.intercariforef.org/formations/certification-63243.html","63243")</f>
        <v>63243</v>
      </c>
      <c r="E2479" s="5">
        <v>146878</v>
      </c>
      <c r="F2479" s="5" t="s">
        <v>10</v>
      </c>
      <c r="G2479" s="5" t="s">
        <v>11</v>
      </c>
      <c r="H2479" s="3" t="s">
        <v>2992</v>
      </c>
    </row>
    <row r="2480" spans="1:8" ht="13.8" x14ac:dyDescent="0.25">
      <c r="A2480" s="3" t="s">
        <v>2902</v>
      </c>
      <c r="B2480" s="3" t="s">
        <v>3051</v>
      </c>
      <c r="C2480" s="4" t="str">
        <f>HYPERLINK("http://www.rncp.cncp.gouv.fr/grand-public/visualisationFiche?format=fr&amp;fiche=6591","6591")</f>
        <v>6591</v>
      </c>
      <c r="D2480" s="4" t="str">
        <f>HYPERLINK("http://www.intercariforef.org/formations/certification-63244.html","63244")</f>
        <v>63244</v>
      </c>
      <c r="E2480" s="5">
        <v>146882</v>
      </c>
      <c r="F2480" s="5" t="s">
        <v>10</v>
      </c>
      <c r="G2480" s="5" t="s">
        <v>11</v>
      </c>
      <c r="H2480" s="3" t="s">
        <v>2992</v>
      </c>
    </row>
    <row r="2481" spans="1:8" ht="13.8" x14ac:dyDescent="0.25">
      <c r="A2481" s="3" t="s">
        <v>2902</v>
      </c>
      <c r="B2481" s="3" t="s">
        <v>3052</v>
      </c>
      <c r="C2481" s="4" t="str">
        <f>HYPERLINK("http://www.rncp.cncp.gouv.fr/grand-public/visualisationFiche?format=fr&amp;fiche=6590","6590")</f>
        <v>6590</v>
      </c>
      <c r="D2481" s="4" t="str">
        <f>HYPERLINK("http://www.intercariforef.org/formations/certification-63245.html","63245")</f>
        <v>63245</v>
      </c>
      <c r="E2481" s="5">
        <v>146881</v>
      </c>
      <c r="F2481" s="5" t="s">
        <v>10</v>
      </c>
      <c r="G2481" s="5" t="s">
        <v>11</v>
      </c>
      <c r="H2481" s="3" t="s">
        <v>2992</v>
      </c>
    </row>
    <row r="2482" spans="1:8" ht="13.8" x14ac:dyDescent="0.25">
      <c r="A2482" s="3" t="s">
        <v>2902</v>
      </c>
      <c r="B2482" s="3" t="s">
        <v>3053</v>
      </c>
      <c r="C2482" s="4" t="str">
        <f>HYPERLINK("http://www.rncp.cncp.gouv.fr/grand-public/visualisationFiche?format=fr&amp;fiche=20617","20617")</f>
        <v>20617</v>
      </c>
      <c r="D2482" s="4" t="str">
        <f>HYPERLINK("http://www.intercariforef.org/formations/certification-83601.html","83601")</f>
        <v>83601</v>
      </c>
      <c r="E2482" s="5">
        <v>131886</v>
      </c>
      <c r="F2482" s="5" t="s">
        <v>10</v>
      </c>
      <c r="G2482" s="5" t="s">
        <v>11</v>
      </c>
      <c r="H2482" s="3" t="s">
        <v>3002</v>
      </c>
    </row>
    <row r="2483" spans="1:8" ht="27.6" x14ac:dyDescent="0.25">
      <c r="A2483" s="3" t="s">
        <v>2902</v>
      </c>
      <c r="B2483" s="3" t="s">
        <v>3054</v>
      </c>
      <c r="C2483" s="5"/>
      <c r="D2483" s="4" t="str">
        <f>HYPERLINK("http://www.intercariforef.org/formations/certification-80696.html","80696")</f>
        <v>80696</v>
      </c>
      <c r="E2483" s="5">
        <v>131887</v>
      </c>
      <c r="F2483" s="5" t="s">
        <v>10</v>
      </c>
      <c r="G2483" s="5" t="s">
        <v>11</v>
      </c>
      <c r="H2483" s="3" t="s">
        <v>2923</v>
      </c>
    </row>
    <row r="2484" spans="1:8" ht="27.6" x14ac:dyDescent="0.25">
      <c r="A2484" s="3" t="s">
        <v>2902</v>
      </c>
      <c r="B2484" s="3" t="s">
        <v>3055</v>
      </c>
      <c r="C2484" s="4" t="str">
        <f>HYPERLINK("http://www.rncp.cncp.gouv.fr/grand-public/visualisationFiche?format=fr&amp;fiche=15811","15811")</f>
        <v>15811</v>
      </c>
      <c r="D2484" s="4" t="str">
        <f>HYPERLINK("http://www.intercariforef.org/formations/certification-73593.html","73593")</f>
        <v>73593</v>
      </c>
      <c r="E2484" s="5">
        <v>131888</v>
      </c>
      <c r="F2484" s="5" t="s">
        <v>10</v>
      </c>
      <c r="G2484" s="5" t="s">
        <v>11</v>
      </c>
      <c r="H2484" s="3" t="s">
        <v>2923</v>
      </c>
    </row>
    <row r="2485" spans="1:8" ht="13.8" x14ac:dyDescent="0.25">
      <c r="A2485" s="3" t="s">
        <v>2902</v>
      </c>
      <c r="B2485" s="3" t="s">
        <v>3056</v>
      </c>
      <c r="C2485" s="4" t="str">
        <f>HYPERLINK("http://www.rncp.cncp.gouv.fr/grand-public/visualisationFiche?format=fr&amp;fiche=15720","15720")</f>
        <v>15720</v>
      </c>
      <c r="D2485" s="4" t="str">
        <f>HYPERLINK("http://www.intercariforef.org/formations/certification-77023.html","77023")</f>
        <v>77023</v>
      </c>
      <c r="E2485" s="5">
        <v>162836</v>
      </c>
      <c r="F2485" s="5" t="s">
        <v>721</v>
      </c>
      <c r="G2485" s="5" t="s">
        <v>11</v>
      </c>
      <c r="H2485" s="3" t="s">
        <v>3057</v>
      </c>
    </row>
    <row r="2486" spans="1:8" ht="13.8" x14ac:dyDescent="0.25">
      <c r="A2486" s="3" t="s">
        <v>2902</v>
      </c>
      <c r="B2486" s="3" t="s">
        <v>3058</v>
      </c>
      <c r="C2486" s="4" t="str">
        <f>HYPERLINK("http://www.rncp.cncp.gouv.fr/grand-public/visualisationFiche?format=fr&amp;fiche=15720","15720")</f>
        <v>15720</v>
      </c>
      <c r="D2486" s="4" t="str">
        <f>HYPERLINK("http://www.intercariforef.org/formations/certification-78470.html","78470")</f>
        <v>78470</v>
      </c>
      <c r="E2486" s="5">
        <v>162837</v>
      </c>
      <c r="F2486" s="5" t="s">
        <v>721</v>
      </c>
      <c r="G2486" s="5" t="s">
        <v>11</v>
      </c>
      <c r="H2486" s="3" t="s">
        <v>3057</v>
      </c>
    </row>
    <row r="2487" spans="1:8" ht="27.6" x14ac:dyDescent="0.25">
      <c r="A2487" s="3" t="s">
        <v>2902</v>
      </c>
      <c r="B2487" s="3" t="s">
        <v>3059</v>
      </c>
      <c r="C2487" s="5"/>
      <c r="D2487" s="4" t="str">
        <f>HYPERLINK("http://www.intercariforef.org/formations/certification-54071.html","54071")</f>
        <v>54071</v>
      </c>
      <c r="E2487" s="5">
        <v>131914</v>
      </c>
      <c r="F2487" s="5" t="s">
        <v>10</v>
      </c>
      <c r="G2487" s="5" t="s">
        <v>11</v>
      </c>
      <c r="H2487" s="3" t="s">
        <v>3060</v>
      </c>
    </row>
    <row r="2488" spans="1:8" ht="27.6" x14ac:dyDescent="0.25">
      <c r="A2488" s="3" t="s">
        <v>2902</v>
      </c>
      <c r="B2488" s="3" t="s">
        <v>3061</v>
      </c>
      <c r="C2488" s="5"/>
      <c r="D2488" s="4" t="str">
        <f>HYPERLINK("http://www.intercariforef.org/formations/certification-54072.html","54072")</f>
        <v>54072</v>
      </c>
      <c r="E2488" s="5">
        <v>131915</v>
      </c>
      <c r="F2488" s="5" t="s">
        <v>10</v>
      </c>
      <c r="G2488" s="5" t="s">
        <v>11</v>
      </c>
      <c r="H2488" s="3" t="s">
        <v>3060</v>
      </c>
    </row>
    <row r="2489" spans="1:8" ht="13.8" x14ac:dyDescent="0.25">
      <c r="A2489" s="3" t="s">
        <v>2902</v>
      </c>
      <c r="B2489" s="3" t="s">
        <v>3062</v>
      </c>
      <c r="C2489" s="4" t="str">
        <f>HYPERLINK("http://www.rncp.cncp.gouv.fr/grand-public/visualisationFiche?format=fr&amp;fiche=14877","14877")</f>
        <v>14877</v>
      </c>
      <c r="D2489" s="4" t="str">
        <f>HYPERLINK("http://www.intercariforef.org/formations/certification-77368.html","77368")</f>
        <v>77368</v>
      </c>
      <c r="E2489" s="5">
        <v>162838</v>
      </c>
      <c r="F2489" s="5" t="s">
        <v>721</v>
      </c>
      <c r="G2489" s="5" t="s">
        <v>11</v>
      </c>
      <c r="H2489" s="3" t="s">
        <v>3057</v>
      </c>
    </row>
    <row r="2490" spans="1:8" ht="13.8" x14ac:dyDescent="0.25">
      <c r="A2490" s="3" t="s">
        <v>2902</v>
      </c>
      <c r="B2490" s="3" t="s">
        <v>3063</v>
      </c>
      <c r="C2490" s="5"/>
      <c r="D2490" s="4" t="str">
        <f>HYPERLINK("http://www.intercariforef.org/formations/certification-80277.html","80277")</f>
        <v>80277</v>
      </c>
      <c r="E2490" s="5">
        <v>131130</v>
      </c>
      <c r="F2490" s="5" t="s">
        <v>10</v>
      </c>
      <c r="G2490" s="5" t="s">
        <v>11</v>
      </c>
      <c r="H2490" s="3" t="s">
        <v>2960</v>
      </c>
    </row>
    <row r="2491" spans="1:8" ht="13.8" x14ac:dyDescent="0.25">
      <c r="A2491" s="3" t="s">
        <v>2902</v>
      </c>
      <c r="B2491" s="3" t="s">
        <v>3064</v>
      </c>
      <c r="C2491" s="5"/>
      <c r="D2491" s="4" t="str">
        <f>HYPERLINK("http://www.intercariforef.org/formations/certification-80562.html","80562")</f>
        <v>80562</v>
      </c>
      <c r="E2491" s="5">
        <v>130977</v>
      </c>
      <c r="F2491" s="5" t="s">
        <v>10</v>
      </c>
      <c r="G2491" s="5" t="s">
        <v>11</v>
      </c>
      <c r="H2491" s="3" t="s">
        <v>2960</v>
      </c>
    </row>
    <row r="2492" spans="1:8" ht="13.8" x14ac:dyDescent="0.25">
      <c r="A2492" s="3" t="s">
        <v>2902</v>
      </c>
      <c r="B2492" s="3" t="s">
        <v>3065</v>
      </c>
      <c r="C2492" s="5"/>
      <c r="D2492" s="4" t="str">
        <f>HYPERLINK("http://www.intercariforef.org/formations/certification-80563.html","80563")</f>
        <v>80563</v>
      </c>
      <c r="E2492" s="5">
        <v>130978</v>
      </c>
      <c r="F2492" s="5" t="s">
        <v>10</v>
      </c>
      <c r="G2492" s="5" t="s">
        <v>11</v>
      </c>
      <c r="H2492" s="3" t="s">
        <v>2960</v>
      </c>
    </row>
    <row r="2493" spans="1:8" ht="13.8" x14ac:dyDescent="0.25">
      <c r="A2493" s="3" t="s">
        <v>2902</v>
      </c>
      <c r="B2493" s="3" t="s">
        <v>3066</v>
      </c>
      <c r="C2493" s="5"/>
      <c r="D2493" s="4" t="str">
        <f>HYPERLINK("http://www.intercariforef.org/formations/certification-23192.html","23192")</f>
        <v>23192</v>
      </c>
      <c r="E2493" s="5">
        <v>131131</v>
      </c>
      <c r="F2493" s="5" t="s">
        <v>10</v>
      </c>
      <c r="G2493" s="5" t="s">
        <v>11</v>
      </c>
      <c r="H2493" s="3" t="s">
        <v>2960</v>
      </c>
    </row>
    <row r="2494" spans="1:8" ht="13.8" x14ac:dyDescent="0.25">
      <c r="A2494" s="3" t="s">
        <v>2902</v>
      </c>
      <c r="B2494" s="3" t="s">
        <v>3067</v>
      </c>
      <c r="C2494" s="5"/>
      <c r="D2494" s="4" t="str">
        <f>HYPERLINK("http://www.intercariforef.org/formations/certification-83942.html","83942")</f>
        <v>83942</v>
      </c>
      <c r="E2494" s="5">
        <v>130818</v>
      </c>
      <c r="F2494" s="5" t="s">
        <v>10</v>
      </c>
      <c r="G2494" s="5" t="s">
        <v>11</v>
      </c>
      <c r="H2494" s="3" t="s">
        <v>2960</v>
      </c>
    </row>
    <row r="2495" spans="1:8" ht="13.8" x14ac:dyDescent="0.25">
      <c r="A2495" s="3" t="s">
        <v>2902</v>
      </c>
      <c r="B2495" s="3" t="s">
        <v>3068</v>
      </c>
      <c r="C2495" s="4" t="str">
        <f>HYPERLINK("http://www.rncp.cncp.gouv.fr/grand-public/visualisationFiche?format=fr&amp;fiche=21641","21641")</f>
        <v>21641</v>
      </c>
      <c r="D2495" s="4" t="str">
        <f>HYPERLINK("http://www.intercariforef.org/formations/certification-81038.html","81038")</f>
        <v>81038</v>
      </c>
      <c r="E2495" s="5">
        <v>131889</v>
      </c>
      <c r="F2495" s="5" t="s">
        <v>10</v>
      </c>
      <c r="G2495" s="5" t="s">
        <v>11</v>
      </c>
      <c r="H2495" s="3" t="s">
        <v>3002</v>
      </c>
    </row>
    <row r="2496" spans="1:8" ht="27.6" x14ac:dyDescent="0.25">
      <c r="A2496" s="3" t="s">
        <v>2902</v>
      </c>
      <c r="B2496" s="3" t="s">
        <v>3069</v>
      </c>
      <c r="C2496" s="5"/>
      <c r="D2496" s="4" t="str">
        <f>HYPERLINK("http://www.intercariforef.org/formations/certification-81164.html","81164")</f>
        <v>81164</v>
      </c>
      <c r="E2496" s="5">
        <v>131891</v>
      </c>
      <c r="F2496" s="5" t="s">
        <v>10</v>
      </c>
      <c r="G2496" s="5" t="s">
        <v>11</v>
      </c>
      <c r="H2496" s="3" t="s">
        <v>2914</v>
      </c>
    </row>
    <row r="2497" spans="1:8" ht="27.6" x14ac:dyDescent="0.25">
      <c r="A2497" s="3" t="s">
        <v>2902</v>
      </c>
      <c r="B2497" s="3" t="s">
        <v>3070</v>
      </c>
      <c r="C2497" s="4" t="str">
        <f>HYPERLINK("http://www.rncp.cncp.gouv.fr/grand-public/visualisationFiche?format=fr&amp;fiche=22065","22065")</f>
        <v>22065</v>
      </c>
      <c r="D2497" s="4" t="str">
        <f>HYPERLINK("http://www.intercariforef.org/formations/certification-54030.html","54030")</f>
        <v>54030</v>
      </c>
      <c r="E2497" s="5">
        <v>131890</v>
      </c>
      <c r="F2497" s="5" t="s">
        <v>10</v>
      </c>
      <c r="G2497" s="5" t="s">
        <v>11</v>
      </c>
      <c r="H2497" s="3" t="s">
        <v>2983</v>
      </c>
    </row>
    <row r="2498" spans="1:8" ht="13.8" x14ac:dyDescent="0.25">
      <c r="A2498" s="3" t="s">
        <v>2902</v>
      </c>
      <c r="B2498" s="3" t="s">
        <v>3071</v>
      </c>
      <c r="C2498" s="5"/>
      <c r="D2498" s="4" t="str">
        <f>HYPERLINK("http://www.intercariforef.org/formations/certification-80554.html","80554")</f>
        <v>80554</v>
      </c>
      <c r="E2498" s="5">
        <v>131929</v>
      </c>
      <c r="F2498" s="5" t="s">
        <v>10</v>
      </c>
      <c r="G2498" s="5" t="s">
        <v>11</v>
      </c>
      <c r="H2498" s="3" t="s">
        <v>2960</v>
      </c>
    </row>
    <row r="2499" spans="1:8" ht="13.8" x14ac:dyDescent="0.25">
      <c r="A2499" s="3" t="s">
        <v>2902</v>
      </c>
      <c r="B2499" s="3" t="s">
        <v>3072</v>
      </c>
      <c r="C2499" s="4" t="str">
        <f>HYPERLINK("http://www.rncp.cncp.gouv.fr/grand-public/visualisationFiche?format=fr&amp;fiche=20621","20621")</f>
        <v>20621</v>
      </c>
      <c r="D2499" s="4" t="str">
        <f>HYPERLINK("http://www.intercariforef.org/formations/certification-80012.html","80012")</f>
        <v>80012</v>
      </c>
      <c r="E2499" s="5">
        <v>131892</v>
      </c>
      <c r="F2499" s="5" t="s">
        <v>10</v>
      </c>
      <c r="G2499" s="5" t="s">
        <v>11</v>
      </c>
      <c r="H2499" s="3" t="s">
        <v>3002</v>
      </c>
    </row>
    <row r="2500" spans="1:8" ht="13.8" x14ac:dyDescent="0.25">
      <c r="A2500" s="3" t="s">
        <v>2902</v>
      </c>
      <c r="B2500" s="3" t="s">
        <v>3073</v>
      </c>
      <c r="C2500" s="5"/>
      <c r="D2500" s="4" t="str">
        <f>HYPERLINK("http://www.intercariforef.org/formations/certification-58018.html","58018")</f>
        <v>58018</v>
      </c>
      <c r="E2500" s="5">
        <v>131894</v>
      </c>
      <c r="F2500" s="5" t="s">
        <v>10</v>
      </c>
      <c r="G2500" s="5" t="s">
        <v>11</v>
      </c>
      <c r="H2500" s="3" t="s">
        <v>3074</v>
      </c>
    </row>
    <row r="2501" spans="1:8" ht="27.6" x14ac:dyDescent="0.25">
      <c r="A2501" s="3" t="s">
        <v>2902</v>
      </c>
      <c r="B2501" s="3" t="s">
        <v>3075</v>
      </c>
      <c r="C2501" s="4" t="str">
        <f>HYPERLINK("http://www.rncp.cncp.gouv.fr/grand-public/visualisationFiche?format=fr&amp;fiche=23057","23057")</f>
        <v>23057</v>
      </c>
      <c r="D2501" s="4" t="str">
        <f>HYPERLINK("http://www.intercariforef.org/formations/certification-82805.html","82805")</f>
        <v>82805</v>
      </c>
      <c r="E2501" s="5">
        <v>131893</v>
      </c>
      <c r="F2501" s="5" t="s">
        <v>10</v>
      </c>
      <c r="G2501" s="5" t="s">
        <v>11</v>
      </c>
      <c r="H2501" s="3" t="s">
        <v>3038</v>
      </c>
    </row>
    <row r="2502" spans="1:8" ht="27.6" x14ac:dyDescent="0.25">
      <c r="A2502" s="3" t="s">
        <v>2902</v>
      </c>
      <c r="B2502" s="3" t="s">
        <v>3076</v>
      </c>
      <c r="C2502" s="5"/>
      <c r="D2502" s="4" t="str">
        <f>HYPERLINK("http://www.intercariforef.org/formations/certification-68542.html","68542")</f>
        <v>68542</v>
      </c>
      <c r="E2502" s="5">
        <v>156459</v>
      </c>
      <c r="F2502" s="5" t="s">
        <v>10</v>
      </c>
      <c r="G2502" s="5" t="s">
        <v>11</v>
      </c>
      <c r="H2502" s="3" t="s">
        <v>3077</v>
      </c>
    </row>
    <row r="2503" spans="1:8" ht="13.8" x14ac:dyDescent="0.25">
      <c r="A2503" s="3" t="s">
        <v>2902</v>
      </c>
      <c r="B2503" s="3" t="s">
        <v>3078</v>
      </c>
      <c r="C2503" s="4" t="str">
        <f>HYPERLINK("http://www.rncp.cncp.gouv.fr/grand-public/visualisationFiche?format=fr&amp;fiche=9109","9109")</f>
        <v>9109</v>
      </c>
      <c r="D2503" s="4" t="str">
        <f>HYPERLINK("http://www.intercariforef.org/formations/certification-83560.html","83560")</f>
        <v>83560</v>
      </c>
      <c r="E2503" s="5">
        <v>162840</v>
      </c>
      <c r="F2503" s="5" t="s">
        <v>721</v>
      </c>
      <c r="G2503" s="5" t="s">
        <v>11</v>
      </c>
      <c r="H2503" s="3" t="s">
        <v>3079</v>
      </c>
    </row>
    <row r="2504" spans="1:8" ht="13.8" x14ac:dyDescent="0.25">
      <c r="A2504" s="3" t="s">
        <v>2902</v>
      </c>
      <c r="B2504" s="3" t="s">
        <v>3080</v>
      </c>
      <c r="C2504" s="4" t="str">
        <f>HYPERLINK("http://www.rncp.cncp.gouv.fr/grand-public/visualisationFiche?format=fr&amp;fiche=13612","13612")</f>
        <v>13612</v>
      </c>
      <c r="D2504" s="4" t="str">
        <f>HYPERLINK("http://www.intercariforef.org/formations/certification-73340.html","73340")</f>
        <v>73340</v>
      </c>
      <c r="E2504" s="5">
        <v>162842</v>
      </c>
      <c r="F2504" s="5" t="s">
        <v>721</v>
      </c>
      <c r="G2504" s="5" t="s">
        <v>11</v>
      </c>
      <c r="H2504" s="3" t="s">
        <v>3081</v>
      </c>
    </row>
    <row r="2505" spans="1:8" ht="13.8" x14ac:dyDescent="0.25">
      <c r="A2505" s="3" t="s">
        <v>2902</v>
      </c>
      <c r="B2505" s="3" t="s">
        <v>3082</v>
      </c>
      <c r="C2505" s="4" t="str">
        <f>HYPERLINK("http://www.rncp.cncp.gouv.fr/grand-public/visualisationFiche?format=fr&amp;fiche=17333","17333")</f>
        <v>17333</v>
      </c>
      <c r="D2505" s="4" t="str">
        <f>HYPERLINK("http://www.intercariforef.org/formations/certification-78471.html","78471")</f>
        <v>78471</v>
      </c>
      <c r="E2505" s="5">
        <v>162895</v>
      </c>
      <c r="F2505" s="5" t="s">
        <v>721</v>
      </c>
      <c r="G2505" s="5" t="s">
        <v>11</v>
      </c>
      <c r="H2505" s="3" t="s">
        <v>3083</v>
      </c>
    </row>
    <row r="2506" spans="1:8" ht="13.8" x14ac:dyDescent="0.25">
      <c r="A2506" s="3" t="s">
        <v>2902</v>
      </c>
      <c r="B2506" s="3" t="s">
        <v>3084</v>
      </c>
      <c r="C2506" s="4" t="str">
        <f>HYPERLINK("http://www.rncp.cncp.gouv.fr/grand-public/visualisationFiche?format=fr&amp;fiche=17333","17333")</f>
        <v>17333</v>
      </c>
      <c r="D2506" s="4" t="str">
        <f>HYPERLINK("http://www.intercariforef.org/formations/certification-78472.html","78472")</f>
        <v>78472</v>
      </c>
      <c r="E2506" s="5">
        <v>162896</v>
      </c>
      <c r="F2506" s="5" t="s">
        <v>721</v>
      </c>
      <c r="G2506" s="5" t="s">
        <v>11</v>
      </c>
      <c r="H2506" s="3" t="s">
        <v>3083</v>
      </c>
    </row>
    <row r="2507" spans="1:8" ht="13.8" x14ac:dyDescent="0.25">
      <c r="A2507" s="3" t="s">
        <v>2902</v>
      </c>
      <c r="B2507" s="3" t="s">
        <v>3085</v>
      </c>
      <c r="C2507" s="4" t="str">
        <f>HYPERLINK("http://www.rncp.cncp.gouv.fr/grand-public/visualisationFiche?format=fr&amp;fiche=16646","16646")</f>
        <v>16646</v>
      </c>
      <c r="D2507" s="4" t="str">
        <f>HYPERLINK("http://www.intercariforef.org/formations/certification-76677.html","76677")</f>
        <v>76677</v>
      </c>
      <c r="E2507" s="5">
        <v>162843</v>
      </c>
      <c r="F2507" s="5" t="s">
        <v>721</v>
      </c>
      <c r="G2507" s="5" t="s">
        <v>11</v>
      </c>
      <c r="H2507" s="3" t="s">
        <v>3086</v>
      </c>
    </row>
    <row r="2508" spans="1:8" ht="13.8" x14ac:dyDescent="0.25">
      <c r="A2508" s="3" t="s">
        <v>2902</v>
      </c>
      <c r="B2508" s="3" t="s">
        <v>3087</v>
      </c>
      <c r="C2508" s="4" t="str">
        <f>HYPERLINK("http://www.rncp.cncp.gouv.fr/grand-public/visualisationFiche?format=fr&amp;fiche=13611","13611")</f>
        <v>13611</v>
      </c>
      <c r="D2508" s="4" t="str">
        <f>HYPERLINK("http://www.intercariforef.org/formations/certification-73352.html","73352")</f>
        <v>73352</v>
      </c>
      <c r="E2508" s="5">
        <v>162845</v>
      </c>
      <c r="F2508" s="5" t="s">
        <v>721</v>
      </c>
      <c r="G2508" s="5" t="s">
        <v>11</v>
      </c>
      <c r="H2508" s="3" t="s">
        <v>3088</v>
      </c>
    </row>
    <row r="2509" spans="1:8" ht="13.8" x14ac:dyDescent="0.25">
      <c r="A2509" s="3" t="s">
        <v>2902</v>
      </c>
      <c r="B2509" s="3" t="s">
        <v>3089</v>
      </c>
      <c r="C2509" s="4" t="str">
        <f>HYPERLINK("http://www.rncp.cncp.gouv.fr/grand-public/visualisationFiche?format=fr&amp;fiche=13881","13881")</f>
        <v>13881</v>
      </c>
      <c r="D2509" s="4" t="str">
        <f>HYPERLINK("http://www.intercariforef.org/formations/certification-73351.html","73351")</f>
        <v>73351</v>
      </c>
      <c r="E2509" s="5">
        <v>162846</v>
      </c>
      <c r="F2509" s="5" t="s">
        <v>721</v>
      </c>
      <c r="G2509" s="5" t="s">
        <v>11</v>
      </c>
      <c r="H2509" s="3" t="s">
        <v>3090</v>
      </c>
    </row>
    <row r="2510" spans="1:8" ht="13.8" x14ac:dyDescent="0.25">
      <c r="A2510" s="3" t="s">
        <v>2902</v>
      </c>
      <c r="B2510" s="3" t="s">
        <v>3091</v>
      </c>
      <c r="C2510" s="4" t="str">
        <f>HYPERLINK("http://www.rncp.cncp.gouv.fr/grand-public/visualisationFiche?format=fr&amp;fiche=14876","14876")</f>
        <v>14876</v>
      </c>
      <c r="D2510" s="4" t="str">
        <f>HYPERLINK("http://www.intercariforef.org/formations/certification-77367.html","77367")</f>
        <v>77367</v>
      </c>
      <c r="E2510" s="5">
        <v>162847</v>
      </c>
      <c r="F2510" s="5" t="s">
        <v>721</v>
      </c>
      <c r="G2510" s="5" t="s">
        <v>11</v>
      </c>
      <c r="H2510" s="3" t="s">
        <v>3092</v>
      </c>
    </row>
    <row r="2511" spans="1:8" ht="13.8" x14ac:dyDescent="0.25">
      <c r="A2511" s="3" t="s">
        <v>2902</v>
      </c>
      <c r="B2511" s="3" t="s">
        <v>3093</v>
      </c>
      <c r="C2511" s="4" t="str">
        <f>HYPERLINK("http://www.rncp.cncp.gouv.fr/grand-public/visualisationFiche?format=fr&amp;fiche=15967","15967")</f>
        <v>15967</v>
      </c>
      <c r="D2511" s="4" t="str">
        <f>HYPERLINK("http://www.intercariforef.org/formations/certification-76680.html","76680")</f>
        <v>76680</v>
      </c>
      <c r="E2511" s="5">
        <v>162857</v>
      </c>
      <c r="F2511" s="5" t="s">
        <v>721</v>
      </c>
      <c r="G2511" s="5" t="s">
        <v>11</v>
      </c>
      <c r="H2511" s="3" t="s">
        <v>3094</v>
      </c>
    </row>
    <row r="2512" spans="1:8" ht="27.6" x14ac:dyDescent="0.25">
      <c r="A2512" s="3" t="s">
        <v>2902</v>
      </c>
      <c r="B2512" s="3" t="s">
        <v>3095</v>
      </c>
      <c r="C2512" s="4" t="str">
        <f>HYPERLINK("http://www.rncp.cncp.gouv.fr/grand-public/visualisationFiche?format=fr&amp;fiche=23711","23711")</f>
        <v>23711</v>
      </c>
      <c r="D2512" s="4" t="str">
        <f>HYPERLINK("http://www.intercariforef.org/formations/certification-83398.html","83398")</f>
        <v>83398</v>
      </c>
      <c r="E2512" s="5">
        <v>162859</v>
      </c>
      <c r="F2512" s="5" t="s">
        <v>721</v>
      </c>
      <c r="G2512" s="5" t="s">
        <v>11</v>
      </c>
      <c r="H2512" s="3" t="s">
        <v>3096</v>
      </c>
    </row>
    <row r="2513" spans="1:8" ht="13.8" x14ac:dyDescent="0.25">
      <c r="A2513" s="3" t="s">
        <v>2902</v>
      </c>
      <c r="B2513" s="3" t="s">
        <v>3097</v>
      </c>
      <c r="C2513" s="4" t="str">
        <f>HYPERLINK("http://www.rncp.cncp.gouv.fr/grand-public/visualisationFiche?format=fr&amp;fiche=23073","23073")</f>
        <v>23073</v>
      </c>
      <c r="D2513" s="4" t="str">
        <f>HYPERLINK("http://www.intercariforef.org/formations/certification-83558.html","83558")</f>
        <v>83558</v>
      </c>
      <c r="E2513" s="5">
        <v>162887</v>
      </c>
      <c r="F2513" s="5" t="s">
        <v>721</v>
      </c>
      <c r="G2513" s="5" t="s">
        <v>11</v>
      </c>
      <c r="H2513" s="3" t="s">
        <v>3098</v>
      </c>
    </row>
    <row r="2514" spans="1:8" ht="13.8" x14ac:dyDescent="0.25">
      <c r="A2514" s="3" t="s">
        <v>2902</v>
      </c>
      <c r="B2514" s="3" t="s">
        <v>3099</v>
      </c>
      <c r="C2514" s="4" t="str">
        <f>HYPERLINK("http://www.rncp.cncp.gouv.fr/grand-public/visualisationFiche?format=fr&amp;fiche=23073","23073")</f>
        <v>23073</v>
      </c>
      <c r="D2514" s="4" t="str">
        <f>HYPERLINK("http://www.intercariforef.org/formations/certification-83556.html","83556")</f>
        <v>83556</v>
      </c>
      <c r="E2514" s="5">
        <v>162888</v>
      </c>
      <c r="F2514" s="5" t="s">
        <v>721</v>
      </c>
      <c r="G2514" s="5" t="s">
        <v>11</v>
      </c>
      <c r="H2514" s="3" t="s">
        <v>3098</v>
      </c>
    </row>
    <row r="2515" spans="1:8" ht="13.8" x14ac:dyDescent="0.25">
      <c r="A2515" s="3" t="s">
        <v>2902</v>
      </c>
      <c r="B2515" s="3" t="s">
        <v>3100</v>
      </c>
      <c r="C2515" s="4" t="str">
        <f>HYPERLINK("http://www.rncp.cncp.gouv.fr/grand-public/visualisationFiche?format=fr&amp;fiche=23073","23073")</f>
        <v>23073</v>
      </c>
      <c r="D2515" s="4" t="str">
        <f>HYPERLINK("http://www.intercariforef.org/formations/certification-83555.html","83555")</f>
        <v>83555</v>
      </c>
      <c r="E2515" s="5">
        <v>162889</v>
      </c>
      <c r="F2515" s="5" t="s">
        <v>721</v>
      </c>
      <c r="G2515" s="5" t="s">
        <v>11</v>
      </c>
      <c r="H2515" s="3" t="s">
        <v>3098</v>
      </c>
    </row>
    <row r="2516" spans="1:8" ht="13.8" x14ac:dyDescent="0.25">
      <c r="A2516" s="3" t="s">
        <v>2902</v>
      </c>
      <c r="B2516" s="3" t="s">
        <v>3101</v>
      </c>
      <c r="C2516" s="4" t="str">
        <f>HYPERLINK("http://www.rncp.cncp.gouv.fr/grand-public/visualisationFiche?format=fr&amp;fiche=23073","23073")</f>
        <v>23073</v>
      </c>
      <c r="D2516" s="4" t="str">
        <f>HYPERLINK("http://www.intercariforef.org/formations/certification-83557.html","83557")</f>
        <v>83557</v>
      </c>
      <c r="E2516" s="5">
        <v>162890</v>
      </c>
      <c r="F2516" s="5" t="s">
        <v>721</v>
      </c>
      <c r="G2516" s="5" t="s">
        <v>11</v>
      </c>
      <c r="H2516" s="3" t="s">
        <v>3098</v>
      </c>
    </row>
    <row r="2517" spans="1:8" ht="13.8" x14ac:dyDescent="0.25">
      <c r="A2517" s="3" t="s">
        <v>2902</v>
      </c>
      <c r="B2517" s="3" t="s">
        <v>3102</v>
      </c>
      <c r="C2517" s="5"/>
      <c r="D2517" s="4" t="str">
        <f>HYPERLINK("http://www.intercariforef.org/formations/certification-83275.html","83275")</f>
        <v>83275</v>
      </c>
      <c r="E2517" s="5">
        <v>131132</v>
      </c>
      <c r="F2517" s="5" t="s">
        <v>10</v>
      </c>
      <c r="G2517" s="5" t="s">
        <v>11</v>
      </c>
      <c r="H2517" s="3" t="s">
        <v>2960</v>
      </c>
    </row>
    <row r="2518" spans="1:8" ht="13.8" x14ac:dyDescent="0.25">
      <c r="A2518" s="3" t="s">
        <v>2902</v>
      </c>
      <c r="B2518" s="3" t="s">
        <v>3103</v>
      </c>
      <c r="C2518" s="5"/>
      <c r="D2518" s="4" t="str">
        <f>HYPERLINK("http://www.intercariforef.org/formations/certification-58275.html","58275")</f>
        <v>58275</v>
      </c>
      <c r="E2518" s="5">
        <v>131120</v>
      </c>
      <c r="F2518" s="5" t="s">
        <v>10</v>
      </c>
      <c r="G2518" s="5" t="s">
        <v>11</v>
      </c>
      <c r="H2518" s="3" t="s">
        <v>2960</v>
      </c>
    </row>
    <row r="2519" spans="1:8" ht="13.8" x14ac:dyDescent="0.25">
      <c r="A2519" s="3" t="s">
        <v>2902</v>
      </c>
      <c r="B2519" s="3" t="s">
        <v>3104</v>
      </c>
      <c r="C2519" s="5"/>
      <c r="D2519" s="4" t="str">
        <f>HYPERLINK("http://www.intercariforef.org/formations/certification-58231.html","58231")</f>
        <v>58231</v>
      </c>
      <c r="E2519" s="5">
        <v>131124</v>
      </c>
      <c r="F2519" s="5" t="s">
        <v>10</v>
      </c>
      <c r="G2519" s="5" t="s">
        <v>11</v>
      </c>
      <c r="H2519" s="3" t="s">
        <v>2960</v>
      </c>
    </row>
    <row r="2520" spans="1:8" ht="27.6" x14ac:dyDescent="0.25">
      <c r="A2520" s="3" t="s">
        <v>2902</v>
      </c>
      <c r="B2520" s="3" t="s">
        <v>3105</v>
      </c>
      <c r="C2520" s="5"/>
      <c r="D2520" s="4" t="str">
        <f>HYPERLINK("http://www.intercariforef.org/formations/certification-50338.html","50338")</f>
        <v>50338</v>
      </c>
      <c r="E2520" s="5">
        <v>131895</v>
      </c>
      <c r="F2520" s="5" t="s">
        <v>10</v>
      </c>
      <c r="G2520" s="5" t="s">
        <v>11</v>
      </c>
      <c r="H2520" s="3" t="s">
        <v>2914</v>
      </c>
    </row>
    <row r="2521" spans="1:8" ht="13.8" x14ac:dyDescent="0.25">
      <c r="A2521" s="3" t="s">
        <v>2902</v>
      </c>
      <c r="B2521" s="3" t="s">
        <v>3106</v>
      </c>
      <c r="C2521" s="4" t="str">
        <f>HYPERLINK("http://www.rncp.cncp.gouv.fr/grand-public/visualisationFiche?format=fr&amp;fiche=22077","22077")</f>
        <v>22077</v>
      </c>
      <c r="D2521" s="4" t="str">
        <f>HYPERLINK("http://www.intercariforef.org/formations/certification-79685.html","79685")</f>
        <v>79685</v>
      </c>
      <c r="E2521" s="5">
        <v>131853</v>
      </c>
      <c r="F2521" s="5" t="s">
        <v>10</v>
      </c>
      <c r="G2521" s="5" t="s">
        <v>11</v>
      </c>
      <c r="H2521" s="3" t="s">
        <v>2967</v>
      </c>
    </row>
    <row r="2522" spans="1:8" ht="13.8" x14ac:dyDescent="0.25">
      <c r="A2522" s="3" t="s">
        <v>2902</v>
      </c>
      <c r="B2522" s="3" t="s">
        <v>3107</v>
      </c>
      <c r="C2522" s="5"/>
      <c r="D2522" s="4" t="str">
        <f>HYPERLINK("http://www.intercariforef.org/formations/certification-54109.html","54109")</f>
        <v>54109</v>
      </c>
      <c r="E2522" s="5">
        <v>146888</v>
      </c>
      <c r="F2522" s="5" t="s">
        <v>10</v>
      </c>
      <c r="G2522" s="5" t="s">
        <v>11</v>
      </c>
      <c r="H2522" s="3" t="s">
        <v>2912</v>
      </c>
    </row>
    <row r="2523" spans="1:8" ht="13.8" x14ac:dyDescent="0.25">
      <c r="A2523" s="3" t="s">
        <v>2902</v>
      </c>
      <c r="B2523" s="3" t="s">
        <v>3108</v>
      </c>
      <c r="C2523" s="5"/>
      <c r="D2523" s="4" t="str">
        <f>HYPERLINK("http://www.intercariforef.org/formations/certification-57721.html","57721")</f>
        <v>57721</v>
      </c>
      <c r="E2523" s="5">
        <v>131916</v>
      </c>
      <c r="F2523" s="5" t="s">
        <v>10</v>
      </c>
      <c r="G2523" s="5" t="s">
        <v>11</v>
      </c>
      <c r="H2523" s="3" t="s">
        <v>3109</v>
      </c>
    </row>
    <row r="2524" spans="1:8" ht="13.8" x14ac:dyDescent="0.25">
      <c r="A2524" s="3" t="s">
        <v>2902</v>
      </c>
      <c r="B2524" s="3" t="s">
        <v>3110</v>
      </c>
      <c r="C2524" s="5"/>
      <c r="D2524" s="4" t="str">
        <f>HYPERLINK("http://www.intercariforef.org/formations/certification-57722.html","57722")</f>
        <v>57722</v>
      </c>
      <c r="E2524" s="5">
        <v>131917</v>
      </c>
      <c r="F2524" s="5" t="s">
        <v>10</v>
      </c>
      <c r="G2524" s="5" t="s">
        <v>11</v>
      </c>
      <c r="H2524" s="3" t="s">
        <v>3109</v>
      </c>
    </row>
    <row r="2525" spans="1:8" ht="13.8" x14ac:dyDescent="0.25">
      <c r="A2525" s="3" t="s">
        <v>2902</v>
      </c>
      <c r="B2525" s="3" t="s">
        <v>3111</v>
      </c>
      <c r="C2525" s="5"/>
      <c r="D2525" s="4" t="str">
        <f>HYPERLINK("http://www.intercariforef.org/formations/certification-78756.html","78756")</f>
        <v>78756</v>
      </c>
      <c r="E2525" s="5">
        <v>131918</v>
      </c>
      <c r="F2525" s="5" t="s">
        <v>10</v>
      </c>
      <c r="G2525" s="5" t="s">
        <v>11</v>
      </c>
      <c r="H2525" s="3" t="s">
        <v>3109</v>
      </c>
    </row>
    <row r="2526" spans="1:8" ht="27.6" x14ac:dyDescent="0.25">
      <c r="A2526" s="3" t="s">
        <v>2902</v>
      </c>
      <c r="B2526" s="3" t="s">
        <v>3112</v>
      </c>
      <c r="C2526" s="5"/>
      <c r="D2526" s="4" t="str">
        <f>HYPERLINK("http://www.intercariforef.org/formations/certification-83976.html","83976")</f>
        <v>83976</v>
      </c>
      <c r="E2526" s="5">
        <v>156450</v>
      </c>
      <c r="F2526" s="5" t="s">
        <v>10</v>
      </c>
      <c r="G2526" s="5" t="s">
        <v>11</v>
      </c>
      <c r="H2526" s="3" t="s">
        <v>3113</v>
      </c>
    </row>
    <row r="2527" spans="1:8" ht="13.8" x14ac:dyDescent="0.25">
      <c r="A2527" s="3" t="s">
        <v>2902</v>
      </c>
      <c r="B2527" s="3" t="s">
        <v>3114</v>
      </c>
      <c r="C2527" s="5"/>
      <c r="D2527" s="4" t="str">
        <f>HYPERLINK("http://www.intercariforef.org/formations/certification-58180.html","58180")</f>
        <v>58180</v>
      </c>
      <c r="E2527" s="5">
        <v>131919</v>
      </c>
      <c r="F2527" s="5" t="s">
        <v>10</v>
      </c>
      <c r="G2527" s="5" t="s">
        <v>11</v>
      </c>
      <c r="H2527" s="3" t="s">
        <v>3109</v>
      </c>
    </row>
    <row r="2528" spans="1:8" ht="13.8" x14ac:dyDescent="0.25">
      <c r="A2528" s="3" t="s">
        <v>2902</v>
      </c>
      <c r="B2528" s="3" t="s">
        <v>3115</v>
      </c>
      <c r="C2528" s="5"/>
      <c r="D2528" s="4" t="str">
        <f>HYPERLINK("http://www.intercariforef.org/formations/certification-78758.html","78758")</f>
        <v>78758</v>
      </c>
      <c r="E2528" s="5">
        <v>131920</v>
      </c>
      <c r="F2528" s="5" t="s">
        <v>10</v>
      </c>
      <c r="G2528" s="5" t="s">
        <v>11</v>
      </c>
      <c r="H2528" s="3" t="s">
        <v>3109</v>
      </c>
    </row>
    <row r="2529" spans="1:8" ht="13.8" x14ac:dyDescent="0.25">
      <c r="A2529" s="3" t="s">
        <v>2902</v>
      </c>
      <c r="B2529" s="3" t="s">
        <v>3116</v>
      </c>
      <c r="C2529" s="5"/>
      <c r="D2529" s="4" t="str">
        <f>HYPERLINK("http://www.intercariforef.org/formations/certification-58183.html","58183")</f>
        <v>58183</v>
      </c>
      <c r="E2529" s="5">
        <v>131921</v>
      </c>
      <c r="F2529" s="5" t="s">
        <v>10</v>
      </c>
      <c r="G2529" s="5" t="s">
        <v>11</v>
      </c>
      <c r="H2529" s="3" t="s">
        <v>3109</v>
      </c>
    </row>
    <row r="2530" spans="1:8" ht="13.8" x14ac:dyDescent="0.25">
      <c r="A2530" s="3" t="s">
        <v>2902</v>
      </c>
      <c r="B2530" s="3" t="s">
        <v>3117</v>
      </c>
      <c r="C2530" s="4" t="str">
        <f>HYPERLINK("http://www.rncp.cncp.gouv.fr/grand-public/visualisationFiche?format=fr&amp;fiche=22073","22073")</f>
        <v>22073</v>
      </c>
      <c r="D2530" s="4" t="str">
        <f>HYPERLINK("http://www.intercariforef.org/formations/certification-79678.html","79678")</f>
        <v>79678</v>
      </c>
      <c r="E2530" s="5">
        <v>131854</v>
      </c>
      <c r="F2530" s="5" t="s">
        <v>10</v>
      </c>
      <c r="G2530" s="5" t="s">
        <v>11</v>
      </c>
      <c r="H2530" s="3" t="s">
        <v>2967</v>
      </c>
    </row>
    <row r="2531" spans="1:8" ht="13.8" x14ac:dyDescent="0.25">
      <c r="A2531" s="3" t="s">
        <v>2902</v>
      </c>
      <c r="B2531" s="3" t="s">
        <v>3118</v>
      </c>
      <c r="C2531" s="4" t="str">
        <f>HYPERLINK("http://www.rncp.cncp.gouv.fr/grand-public/visualisationFiche?format=fr&amp;fiche=22075","22075")</f>
        <v>22075</v>
      </c>
      <c r="D2531" s="4" t="str">
        <f>HYPERLINK("http://www.intercariforef.org/formations/certification-79687.html","79687")</f>
        <v>79687</v>
      </c>
      <c r="E2531" s="5">
        <v>131855</v>
      </c>
      <c r="F2531" s="5" t="s">
        <v>10</v>
      </c>
      <c r="G2531" s="5" t="s">
        <v>11</v>
      </c>
      <c r="H2531" s="3" t="s">
        <v>2967</v>
      </c>
    </row>
    <row r="2532" spans="1:8" ht="13.8" x14ac:dyDescent="0.25">
      <c r="A2532" s="3" t="s">
        <v>2902</v>
      </c>
      <c r="B2532" s="3" t="s">
        <v>3119</v>
      </c>
      <c r="C2532" s="4" t="str">
        <f>HYPERLINK("http://www.rncp.cncp.gouv.fr/grand-public/visualisationFiche?format=fr&amp;fiche=16071","16071")</f>
        <v>16071</v>
      </c>
      <c r="D2532" s="4" t="str">
        <f>HYPERLINK("http://www.intercariforef.org/formations/certification-78469.html","78469")</f>
        <v>78469</v>
      </c>
      <c r="E2532" s="5">
        <v>162861</v>
      </c>
      <c r="F2532" s="5" t="s">
        <v>721</v>
      </c>
      <c r="G2532" s="5" t="s">
        <v>11</v>
      </c>
      <c r="H2532" s="3" t="s">
        <v>3096</v>
      </c>
    </row>
    <row r="2533" spans="1:8" ht="27.6" x14ac:dyDescent="0.25">
      <c r="A2533" s="3" t="s">
        <v>2902</v>
      </c>
      <c r="B2533" s="3" t="s">
        <v>3120</v>
      </c>
      <c r="C2533" s="4" t="str">
        <f>HYPERLINK("http://www.rncp.cncp.gouv.fr/grand-public/visualisationFiche?format=fr&amp;fiche=23072","23072")</f>
        <v>23072</v>
      </c>
      <c r="D2533" s="4" t="str">
        <f>HYPERLINK("http://www.intercariforef.org/formations/certification-73633.html","73633")</f>
        <v>73633</v>
      </c>
      <c r="E2533" s="5">
        <v>131896</v>
      </c>
      <c r="F2533" s="5" t="s">
        <v>10</v>
      </c>
      <c r="G2533" s="5" t="s">
        <v>11</v>
      </c>
      <c r="H2533" s="3" t="s">
        <v>2923</v>
      </c>
    </row>
    <row r="2534" spans="1:8" ht="13.8" x14ac:dyDescent="0.25">
      <c r="A2534" s="3" t="s">
        <v>2902</v>
      </c>
      <c r="B2534" s="3" t="s">
        <v>3121</v>
      </c>
      <c r="C2534" s="5"/>
      <c r="D2534" s="4" t="str">
        <f>HYPERLINK("http://www.intercariforef.org/formations/certification-50356.html","50356")</f>
        <v>50356</v>
      </c>
      <c r="E2534" s="5">
        <v>146889</v>
      </c>
      <c r="F2534" s="5" t="s">
        <v>10</v>
      </c>
      <c r="G2534" s="5" t="s">
        <v>11</v>
      </c>
      <c r="H2534" s="3" t="s">
        <v>2912</v>
      </c>
    </row>
    <row r="2535" spans="1:8" ht="13.8" x14ac:dyDescent="0.25">
      <c r="A2535" s="3" t="s">
        <v>2902</v>
      </c>
      <c r="B2535" s="3" t="s">
        <v>3122</v>
      </c>
      <c r="C2535" s="4" t="str">
        <f>HYPERLINK("http://www.rncp.cncp.gouv.fr/grand-public/visualisationFiche?format=fr&amp;fiche=16268","16268")</f>
        <v>16268</v>
      </c>
      <c r="D2535" s="4" t="str">
        <f>HYPERLINK("http://www.intercariforef.org/formations/certification-80475.html","80475")</f>
        <v>80475</v>
      </c>
      <c r="E2535" s="5">
        <v>131897</v>
      </c>
      <c r="F2535" s="5" t="s">
        <v>10</v>
      </c>
      <c r="G2535" s="5" t="s">
        <v>11</v>
      </c>
      <c r="H2535" s="3" t="s">
        <v>3026</v>
      </c>
    </row>
    <row r="2536" spans="1:8" ht="13.8" x14ac:dyDescent="0.25">
      <c r="A2536" s="3" t="s">
        <v>2902</v>
      </c>
      <c r="B2536" s="3" t="s">
        <v>3123</v>
      </c>
      <c r="C2536" s="5"/>
      <c r="D2536" s="4" t="str">
        <f>HYPERLINK("http://www.intercariforef.org/formations/certification-84606.html","84606")</f>
        <v>84606</v>
      </c>
      <c r="E2536" s="5">
        <v>158892</v>
      </c>
      <c r="F2536" s="5" t="s">
        <v>10</v>
      </c>
      <c r="G2536" s="5" t="s">
        <v>11</v>
      </c>
      <c r="H2536" s="3" t="s">
        <v>3124</v>
      </c>
    </row>
    <row r="2537" spans="1:8" ht="13.8" x14ac:dyDescent="0.25">
      <c r="A2537" s="3" t="s">
        <v>2902</v>
      </c>
      <c r="B2537" s="3" t="s">
        <v>3125</v>
      </c>
      <c r="C2537" s="5"/>
      <c r="D2537" s="4" t="str">
        <f>HYPERLINK("http://www.intercariforef.org/formations/certification-84607.html","84607")</f>
        <v>84607</v>
      </c>
      <c r="E2537" s="5">
        <v>158891</v>
      </c>
      <c r="F2537" s="5" t="s">
        <v>10</v>
      </c>
      <c r="G2537" s="5" t="s">
        <v>11</v>
      </c>
      <c r="H2537" s="3" t="s">
        <v>3124</v>
      </c>
    </row>
    <row r="2538" spans="1:8" ht="13.8" x14ac:dyDescent="0.25">
      <c r="A2538" s="3" t="s">
        <v>2902</v>
      </c>
      <c r="B2538" s="3" t="s">
        <v>3126</v>
      </c>
      <c r="C2538" s="5"/>
      <c r="D2538" s="4" t="str">
        <f>HYPERLINK("http://www.intercariforef.org/formations/certification-50629.html","50629")</f>
        <v>50629</v>
      </c>
      <c r="E2538" s="5">
        <v>144827</v>
      </c>
      <c r="F2538" s="5" t="s">
        <v>10</v>
      </c>
      <c r="G2538" s="5" t="s">
        <v>11</v>
      </c>
      <c r="H2538" s="3" t="s">
        <v>3127</v>
      </c>
    </row>
    <row r="2539" spans="1:8" ht="13.8" x14ac:dyDescent="0.25">
      <c r="A2539" s="3" t="s">
        <v>2902</v>
      </c>
      <c r="B2539" s="3" t="s">
        <v>3128</v>
      </c>
      <c r="C2539" s="5"/>
      <c r="D2539" s="4" t="str">
        <f>HYPERLINK("http://www.intercariforef.org/formations/certification-50630.html","50630")</f>
        <v>50630</v>
      </c>
      <c r="E2539" s="5">
        <v>144828</v>
      </c>
      <c r="F2539" s="5" t="s">
        <v>10</v>
      </c>
      <c r="G2539" s="5" t="s">
        <v>11</v>
      </c>
      <c r="H2539" s="3" t="s">
        <v>3127</v>
      </c>
    </row>
    <row r="2540" spans="1:8" ht="13.8" x14ac:dyDescent="0.25">
      <c r="A2540" s="3" t="s">
        <v>2902</v>
      </c>
      <c r="B2540" s="3" t="s">
        <v>3129</v>
      </c>
      <c r="C2540" s="5"/>
      <c r="D2540" s="4" t="str">
        <f>HYPERLINK("http://www.intercariforef.org/formations/certification-50694.html","50694")</f>
        <v>50694</v>
      </c>
      <c r="E2540" s="5">
        <v>131755</v>
      </c>
      <c r="F2540" s="5" t="s">
        <v>10</v>
      </c>
      <c r="G2540" s="5" t="s">
        <v>11</v>
      </c>
      <c r="H2540" s="3" t="s">
        <v>2960</v>
      </c>
    </row>
    <row r="2541" spans="1:8" ht="13.8" x14ac:dyDescent="0.25">
      <c r="A2541" s="3" t="s">
        <v>2902</v>
      </c>
      <c r="B2541" s="3" t="s">
        <v>3130</v>
      </c>
      <c r="C2541" s="5"/>
      <c r="D2541" s="4" t="str">
        <f>HYPERLINK("http://www.intercariforef.org/formations/certification-50695.html","50695")</f>
        <v>50695</v>
      </c>
      <c r="E2541" s="5">
        <v>131121</v>
      </c>
      <c r="F2541" s="5" t="s">
        <v>10</v>
      </c>
      <c r="G2541" s="5" t="s">
        <v>11</v>
      </c>
      <c r="H2541" s="3" t="s">
        <v>2960</v>
      </c>
    </row>
    <row r="2542" spans="1:8" ht="13.8" x14ac:dyDescent="0.25">
      <c r="A2542" s="3" t="s">
        <v>2902</v>
      </c>
      <c r="B2542" s="3" t="s">
        <v>3131</v>
      </c>
      <c r="C2542" s="5"/>
      <c r="D2542" s="4" t="str">
        <f>HYPERLINK("http://www.intercariforef.org/formations/certification-83944.html","83944")</f>
        <v>83944</v>
      </c>
      <c r="E2542" s="5">
        <v>131109</v>
      </c>
      <c r="F2542" s="5" t="s">
        <v>10</v>
      </c>
      <c r="G2542" s="5" t="s">
        <v>11</v>
      </c>
      <c r="H2542" s="3" t="s">
        <v>2960</v>
      </c>
    </row>
    <row r="2543" spans="1:8" ht="13.8" x14ac:dyDescent="0.25">
      <c r="A2543" s="3" t="s">
        <v>2902</v>
      </c>
      <c r="B2543" s="3" t="s">
        <v>3132</v>
      </c>
      <c r="C2543" s="5"/>
      <c r="D2543" s="4" t="str">
        <f>HYPERLINK("http://www.intercariforef.org/formations/certification-23203.html","23203")</f>
        <v>23203</v>
      </c>
      <c r="E2543" s="5">
        <v>131133</v>
      </c>
      <c r="F2543" s="5" t="s">
        <v>10</v>
      </c>
      <c r="G2543" s="5" t="s">
        <v>11</v>
      </c>
      <c r="H2543" s="3" t="s">
        <v>2960</v>
      </c>
    </row>
    <row r="2544" spans="1:8" ht="27.6" x14ac:dyDescent="0.25">
      <c r="A2544" s="3" t="s">
        <v>2902</v>
      </c>
      <c r="B2544" s="3" t="s">
        <v>3133</v>
      </c>
      <c r="C2544" s="4" t="str">
        <f>HYPERLINK("http://www.rncp.cncp.gouv.fr/grand-public/visualisationFiche?format=fr&amp;fiche=17675","17675")</f>
        <v>17675</v>
      </c>
      <c r="D2544" s="4" t="str">
        <f>HYPERLINK("http://www.intercariforef.org/formations/certification-79137.html","79137")</f>
        <v>79137</v>
      </c>
      <c r="E2544" s="5">
        <v>146890</v>
      </c>
      <c r="F2544" s="5" t="s">
        <v>10</v>
      </c>
      <c r="G2544" s="5" t="s">
        <v>11</v>
      </c>
      <c r="H2544" s="3" t="s">
        <v>2929</v>
      </c>
    </row>
    <row r="2545" spans="1:8" ht="13.8" x14ac:dyDescent="0.25">
      <c r="A2545" s="3" t="s">
        <v>2902</v>
      </c>
      <c r="B2545" s="3" t="s">
        <v>3134</v>
      </c>
      <c r="C2545" s="5"/>
      <c r="D2545" s="4" t="str">
        <f>HYPERLINK("http://www.intercariforef.org/formations/certification-80555.html","80555")</f>
        <v>80555</v>
      </c>
      <c r="E2545" s="5">
        <v>131134</v>
      </c>
      <c r="F2545" s="5" t="s">
        <v>10</v>
      </c>
      <c r="G2545" s="5" t="s">
        <v>11</v>
      </c>
      <c r="H2545" s="3" t="s">
        <v>2960</v>
      </c>
    </row>
    <row r="2546" spans="1:8" ht="13.8" x14ac:dyDescent="0.25">
      <c r="A2546" s="3" t="s">
        <v>2902</v>
      </c>
      <c r="B2546" s="3" t="s">
        <v>3135</v>
      </c>
      <c r="C2546" s="5"/>
      <c r="D2546" s="4" t="str">
        <f>HYPERLINK("http://www.intercariforef.org/formations/certification-77302.html","77302")</f>
        <v>77302</v>
      </c>
      <c r="E2546" s="5">
        <v>131135</v>
      </c>
      <c r="F2546" s="5" t="s">
        <v>10</v>
      </c>
      <c r="G2546" s="5" t="s">
        <v>11</v>
      </c>
      <c r="H2546" s="3" t="s">
        <v>2960</v>
      </c>
    </row>
    <row r="2547" spans="1:8" ht="27.6" x14ac:dyDescent="0.25">
      <c r="A2547" s="3" t="s">
        <v>2902</v>
      </c>
      <c r="B2547" s="3" t="s">
        <v>3136</v>
      </c>
      <c r="C2547" s="4" t="str">
        <f>HYPERLINK("http://www.rncp.cncp.gouv.fr/grand-public/visualisationFiche?format=fr&amp;fiche=5591","5591")</f>
        <v>5591</v>
      </c>
      <c r="D2547" s="4" t="str">
        <f>HYPERLINK("http://www.intercariforef.org/formations/certification-81427.html","81427")</f>
        <v>81427</v>
      </c>
      <c r="E2547" s="5">
        <v>146891</v>
      </c>
      <c r="F2547" s="5" t="s">
        <v>10</v>
      </c>
      <c r="G2547" s="5" t="s">
        <v>11</v>
      </c>
      <c r="H2547" s="3" t="s">
        <v>2929</v>
      </c>
    </row>
    <row r="2548" spans="1:8" ht="27.6" x14ac:dyDescent="0.25">
      <c r="A2548" s="3" t="s">
        <v>2902</v>
      </c>
      <c r="B2548" s="3" t="s">
        <v>3137</v>
      </c>
      <c r="C2548" s="4" t="str">
        <f>HYPERLINK("http://www.rncp.cncp.gouv.fr/grand-public/visualisationFiche?format=fr&amp;fiche=6261","6261")</f>
        <v>6261</v>
      </c>
      <c r="D2548" s="4" t="str">
        <f>HYPERLINK("http://www.intercariforef.org/formations/certification-83250.html","83250")</f>
        <v>83250</v>
      </c>
      <c r="E2548" s="5">
        <v>146892</v>
      </c>
      <c r="F2548" s="5" t="s">
        <v>10</v>
      </c>
      <c r="G2548" s="5" t="s">
        <v>11</v>
      </c>
      <c r="H2548" s="3" t="s">
        <v>2929</v>
      </c>
    </row>
    <row r="2549" spans="1:8" ht="27.6" x14ac:dyDescent="0.25">
      <c r="A2549" s="3" t="s">
        <v>2902</v>
      </c>
      <c r="B2549" s="3" t="s">
        <v>3138</v>
      </c>
      <c r="C2549" s="4" t="str">
        <f>HYPERLINK("http://www.rncp.cncp.gouv.fr/grand-public/visualisationFiche?format=fr&amp;fiche=5592","5592")</f>
        <v>5592</v>
      </c>
      <c r="D2549" s="4" t="str">
        <f>HYPERLINK("http://www.intercariforef.org/formations/certification-81428.html","81428")</f>
        <v>81428</v>
      </c>
      <c r="E2549" s="5">
        <v>146908</v>
      </c>
      <c r="F2549" s="5" t="s">
        <v>10</v>
      </c>
      <c r="G2549" s="5" t="s">
        <v>11</v>
      </c>
      <c r="H2549" s="3" t="s">
        <v>2929</v>
      </c>
    </row>
    <row r="2550" spans="1:8" ht="13.8" x14ac:dyDescent="0.25">
      <c r="A2550" s="3" t="s">
        <v>2902</v>
      </c>
      <c r="B2550" s="3" t="s">
        <v>3139</v>
      </c>
      <c r="C2550" s="4" t="str">
        <f>HYPERLINK("http://www.rncp.cncp.gouv.fr/grand-public/visualisationFiche?format=fr&amp;fiche=6036","6036")</f>
        <v>6036</v>
      </c>
      <c r="D2550" s="4" t="str">
        <f>HYPERLINK("http://www.intercariforef.org/formations/certification-83253.html","83253")</f>
        <v>83253</v>
      </c>
      <c r="E2550" s="5">
        <v>131136</v>
      </c>
      <c r="F2550" s="5" t="s">
        <v>10</v>
      </c>
      <c r="G2550" s="5" t="s">
        <v>11</v>
      </c>
      <c r="H2550" s="3" t="s">
        <v>3140</v>
      </c>
    </row>
    <row r="2551" spans="1:8" ht="13.8" x14ac:dyDescent="0.25">
      <c r="A2551" s="3" t="s">
        <v>2902</v>
      </c>
      <c r="B2551" s="3" t="s">
        <v>3141</v>
      </c>
      <c r="C2551" s="4" t="str">
        <f>HYPERLINK("http://www.rncp.cncp.gouv.fr/grand-public/visualisationFiche?format=fr&amp;fiche=16269","16269")</f>
        <v>16269</v>
      </c>
      <c r="D2551" s="4" t="str">
        <f>HYPERLINK("http://www.intercariforef.org/formations/certification-80474.html","80474")</f>
        <v>80474</v>
      </c>
      <c r="E2551" s="5">
        <v>131898</v>
      </c>
      <c r="F2551" s="5" t="s">
        <v>10</v>
      </c>
      <c r="G2551" s="5" t="s">
        <v>11</v>
      </c>
      <c r="H2551" s="3" t="s">
        <v>3026</v>
      </c>
    </row>
    <row r="2552" spans="1:8" ht="27.6" x14ac:dyDescent="0.25">
      <c r="A2552" s="3" t="s">
        <v>2902</v>
      </c>
      <c r="B2552" s="3" t="s">
        <v>3142</v>
      </c>
      <c r="C2552" s="5"/>
      <c r="D2552" s="4" t="str">
        <f>HYPERLINK("http://www.intercariforef.org/formations/certification-83262.html","83262")</f>
        <v>83262</v>
      </c>
      <c r="E2552" s="5">
        <v>131856</v>
      </c>
      <c r="F2552" s="5" t="s">
        <v>10</v>
      </c>
      <c r="G2552" s="5" t="s">
        <v>11</v>
      </c>
      <c r="H2552" s="3" t="s">
        <v>2923</v>
      </c>
    </row>
    <row r="2553" spans="1:8" ht="13.8" x14ac:dyDescent="0.25">
      <c r="A2553" s="3" t="s">
        <v>2902</v>
      </c>
      <c r="B2553" s="3" t="s">
        <v>3143</v>
      </c>
      <c r="C2553" s="4" t="str">
        <f>HYPERLINK("http://www.rncp.cncp.gouv.fr/grand-public/visualisationFiche?format=fr&amp;fiche=16070","16070")</f>
        <v>16070</v>
      </c>
      <c r="D2553" s="4" t="str">
        <f>HYPERLINK("http://www.intercariforef.org/formations/certification-78468.html","78468")</f>
        <v>78468</v>
      </c>
      <c r="E2553" s="5">
        <v>162863</v>
      </c>
      <c r="F2553" s="5" t="s">
        <v>721</v>
      </c>
      <c r="G2553" s="5" t="s">
        <v>11</v>
      </c>
      <c r="H2553" s="3" t="s">
        <v>3096</v>
      </c>
    </row>
    <row r="2554" spans="1:8" ht="27.6" x14ac:dyDescent="0.25">
      <c r="A2554" s="3" t="s">
        <v>2902</v>
      </c>
      <c r="B2554" s="3" t="s">
        <v>3144</v>
      </c>
      <c r="C2554" s="4" t="str">
        <f>HYPERLINK("http://www.rncp.cncp.gouv.fr/grand-public/visualisationFiche?format=fr&amp;fiche=17677","17677")</f>
        <v>17677</v>
      </c>
      <c r="D2554" s="4" t="str">
        <f>HYPERLINK("http://www.intercariforef.org/formations/certification-73595.html","73595")</f>
        <v>73595</v>
      </c>
      <c r="E2554" s="5">
        <v>131899</v>
      </c>
      <c r="F2554" s="5" t="s">
        <v>10</v>
      </c>
      <c r="G2554" s="5" t="s">
        <v>11</v>
      </c>
      <c r="H2554" s="3" t="s">
        <v>2923</v>
      </c>
    </row>
    <row r="2555" spans="1:8" ht="13.8" x14ac:dyDescent="0.25">
      <c r="A2555" s="3" t="s">
        <v>2902</v>
      </c>
      <c r="B2555" s="3" t="s">
        <v>3145</v>
      </c>
      <c r="C2555" s="5"/>
      <c r="D2555" s="4" t="str">
        <f>HYPERLINK("http://www.intercariforef.org/formations/certification-54103.html","54103")</f>
        <v>54103</v>
      </c>
      <c r="E2555" s="5">
        <v>131880</v>
      </c>
      <c r="F2555" s="5" t="s">
        <v>10</v>
      </c>
      <c r="G2555" s="5" t="s">
        <v>11</v>
      </c>
      <c r="H2555" s="3" t="s">
        <v>3146</v>
      </c>
    </row>
    <row r="2556" spans="1:8" ht="13.8" x14ac:dyDescent="0.25">
      <c r="A2556" s="3" t="s">
        <v>2902</v>
      </c>
      <c r="B2556" s="3" t="s">
        <v>3147</v>
      </c>
      <c r="C2556" s="5"/>
      <c r="D2556" s="4" t="str">
        <f>HYPERLINK("http://www.intercariforef.org/formations/certification-80558.html","80558")</f>
        <v>80558</v>
      </c>
      <c r="E2556" s="5">
        <v>131118</v>
      </c>
      <c r="F2556" s="5" t="s">
        <v>10</v>
      </c>
      <c r="G2556" s="5" t="s">
        <v>11</v>
      </c>
      <c r="H2556" s="3" t="s">
        <v>2960</v>
      </c>
    </row>
    <row r="2557" spans="1:8" ht="13.8" x14ac:dyDescent="0.25">
      <c r="A2557" s="3" t="s">
        <v>2902</v>
      </c>
      <c r="B2557" s="3" t="s">
        <v>3148</v>
      </c>
      <c r="C2557" s="5"/>
      <c r="D2557" s="4" t="str">
        <f>HYPERLINK("http://www.intercariforef.org/formations/certification-80559.html","80559")</f>
        <v>80559</v>
      </c>
      <c r="E2557" s="5">
        <v>131117</v>
      </c>
      <c r="F2557" s="5" t="s">
        <v>10</v>
      </c>
      <c r="G2557" s="5" t="s">
        <v>11</v>
      </c>
      <c r="H2557" s="3" t="s">
        <v>2960</v>
      </c>
    </row>
    <row r="2558" spans="1:8" ht="13.8" x14ac:dyDescent="0.25">
      <c r="A2558" s="3" t="s">
        <v>2902</v>
      </c>
      <c r="B2558" s="3" t="s">
        <v>3149</v>
      </c>
      <c r="C2558" s="5"/>
      <c r="D2558" s="4" t="str">
        <f>HYPERLINK("http://www.intercariforef.org/formations/certification-80548.html","80548")</f>
        <v>80548</v>
      </c>
      <c r="E2558" s="5">
        <v>131119</v>
      </c>
      <c r="F2558" s="5" t="s">
        <v>10</v>
      </c>
      <c r="G2558" s="5" t="s">
        <v>11</v>
      </c>
      <c r="H2558" s="3" t="s">
        <v>2960</v>
      </c>
    </row>
    <row r="2559" spans="1:8" ht="13.8" x14ac:dyDescent="0.25">
      <c r="A2559" s="3" t="s">
        <v>2902</v>
      </c>
      <c r="B2559" s="3" t="s">
        <v>3150</v>
      </c>
      <c r="C2559" s="5"/>
      <c r="D2559" s="4" t="str">
        <f>HYPERLINK("http://www.intercariforef.org/formations/certification-58249.html","58249")</f>
        <v>58249</v>
      </c>
      <c r="E2559" s="5">
        <v>131123</v>
      </c>
      <c r="F2559" s="5" t="s">
        <v>10</v>
      </c>
      <c r="G2559" s="5" t="s">
        <v>11</v>
      </c>
      <c r="H2559" s="3" t="s">
        <v>2960</v>
      </c>
    </row>
    <row r="2560" spans="1:8" ht="27.6" x14ac:dyDescent="0.25">
      <c r="A2560" s="3" t="s">
        <v>2902</v>
      </c>
      <c r="B2560" s="3" t="s">
        <v>3151</v>
      </c>
      <c r="C2560" s="4" t="str">
        <f>HYPERLINK("http://www.rncp.cncp.gouv.fr/grand-public/visualisationFiche?format=fr&amp;fiche=4081","4081")</f>
        <v>4081</v>
      </c>
      <c r="D2560" s="4" t="str">
        <f>HYPERLINK("http://www.intercariforef.org/formations/certification-47371.html","47371")</f>
        <v>47371</v>
      </c>
      <c r="E2560" s="5">
        <v>131900</v>
      </c>
      <c r="F2560" s="5" t="s">
        <v>10</v>
      </c>
      <c r="G2560" s="5" t="s">
        <v>11</v>
      </c>
      <c r="H2560" s="3" t="s">
        <v>2923</v>
      </c>
    </row>
    <row r="2561" spans="1:8" ht="27.6" x14ac:dyDescent="0.25">
      <c r="A2561" s="3" t="s">
        <v>2902</v>
      </c>
      <c r="B2561" s="3" t="s">
        <v>3152</v>
      </c>
      <c r="C2561" s="5"/>
      <c r="D2561" s="4" t="str">
        <f>HYPERLINK("http://www.intercariforef.org/formations/certification-50366.html","50366")</f>
        <v>50366</v>
      </c>
      <c r="E2561" s="5">
        <v>131901</v>
      </c>
      <c r="F2561" s="5" t="s">
        <v>10</v>
      </c>
      <c r="G2561" s="5" t="s">
        <v>11</v>
      </c>
      <c r="H2561" s="3" t="s">
        <v>2923</v>
      </c>
    </row>
    <row r="2562" spans="1:8" ht="13.8" x14ac:dyDescent="0.25">
      <c r="A2562" s="3" t="s">
        <v>2902</v>
      </c>
      <c r="B2562" s="3" t="s">
        <v>3153</v>
      </c>
      <c r="C2562" s="4" t="str">
        <f>HYPERLINK("http://www.rncp.cncp.gouv.fr/grand-public/visualisationFiche?format=fr&amp;fiche=22078","22078")</f>
        <v>22078</v>
      </c>
      <c r="D2562" s="4" t="str">
        <f>HYPERLINK("http://www.intercariforef.org/formations/certification-79692.html","79692")</f>
        <v>79692</v>
      </c>
      <c r="E2562" s="5">
        <v>131857</v>
      </c>
      <c r="F2562" s="5" t="s">
        <v>10</v>
      </c>
      <c r="G2562" s="5" t="s">
        <v>11</v>
      </c>
      <c r="H2562" s="3" t="s">
        <v>2967</v>
      </c>
    </row>
    <row r="2563" spans="1:8" ht="13.8" x14ac:dyDescent="0.25">
      <c r="A2563" s="3" t="s">
        <v>2902</v>
      </c>
      <c r="B2563" s="3" t="s">
        <v>3154</v>
      </c>
      <c r="C2563" s="5"/>
      <c r="D2563" s="4" t="str">
        <f>HYPERLINK("http://www.intercariforef.org/formations/certification-58295.html","58295")</f>
        <v>58295</v>
      </c>
      <c r="E2563" s="5">
        <v>130819</v>
      </c>
      <c r="F2563" s="5" t="s">
        <v>10</v>
      </c>
      <c r="G2563" s="5" t="s">
        <v>11</v>
      </c>
      <c r="H2563" s="3" t="s">
        <v>2960</v>
      </c>
    </row>
    <row r="2564" spans="1:8" ht="13.8" x14ac:dyDescent="0.25">
      <c r="A2564" s="3" t="s">
        <v>2902</v>
      </c>
      <c r="B2564" s="3" t="s">
        <v>3155</v>
      </c>
      <c r="C2564" s="5"/>
      <c r="D2564" s="4" t="str">
        <f>HYPERLINK("http://www.intercariforef.org/formations/certification-50654.html","50654")</f>
        <v>50654</v>
      </c>
      <c r="E2564" s="5">
        <v>131902</v>
      </c>
      <c r="F2564" s="5" t="s">
        <v>10</v>
      </c>
      <c r="G2564" s="5" t="s">
        <v>11</v>
      </c>
      <c r="H2564" s="3" t="s">
        <v>3156</v>
      </c>
    </row>
    <row r="2565" spans="1:8" ht="27.6" x14ac:dyDescent="0.25">
      <c r="A2565" s="3" t="s">
        <v>2902</v>
      </c>
      <c r="B2565" s="3" t="s">
        <v>3157</v>
      </c>
      <c r="C2565" s="4" t="str">
        <f>HYPERLINK("http://www.rncp.cncp.gouv.fr/grand-public/visualisationFiche?format=fr&amp;fiche=17674","17674")</f>
        <v>17674</v>
      </c>
      <c r="D2565" s="4" t="str">
        <f>HYPERLINK("http://www.intercariforef.org/formations/certification-54076.html","54076")</f>
        <v>54076</v>
      </c>
      <c r="E2565" s="5">
        <v>146947</v>
      </c>
      <c r="F2565" s="5" t="s">
        <v>10</v>
      </c>
      <c r="G2565" s="5" t="s">
        <v>11</v>
      </c>
      <c r="H2565" s="3" t="s">
        <v>2929</v>
      </c>
    </row>
    <row r="2566" spans="1:8" ht="13.8" x14ac:dyDescent="0.25">
      <c r="A2566" s="3" t="s">
        <v>2902</v>
      </c>
      <c r="B2566" s="3" t="s">
        <v>3158</v>
      </c>
      <c r="C2566" s="5"/>
      <c r="D2566" s="4" t="str">
        <f>HYPERLINK("http://www.intercariforef.org/formations/certification-50701.html","50701")</f>
        <v>50701</v>
      </c>
      <c r="E2566" s="5">
        <v>131110</v>
      </c>
      <c r="F2566" s="5" t="s">
        <v>10</v>
      </c>
      <c r="G2566" s="5" t="s">
        <v>11</v>
      </c>
      <c r="H2566" s="3" t="s">
        <v>2960</v>
      </c>
    </row>
    <row r="2567" spans="1:8" ht="13.8" x14ac:dyDescent="0.25">
      <c r="A2567" s="3" t="s">
        <v>2902</v>
      </c>
      <c r="B2567" s="3" t="s">
        <v>3159</v>
      </c>
      <c r="C2567" s="5"/>
      <c r="D2567" s="4" t="str">
        <f>HYPERLINK("http://www.intercariforef.org/formations/certification-50265.html","50265")</f>
        <v>50265</v>
      </c>
      <c r="E2567" s="5">
        <v>130979</v>
      </c>
      <c r="F2567" s="5" t="s">
        <v>10</v>
      </c>
      <c r="G2567" s="5" t="s">
        <v>11</v>
      </c>
      <c r="H2567" s="3" t="s">
        <v>2960</v>
      </c>
    </row>
    <row r="2568" spans="1:8" ht="13.8" x14ac:dyDescent="0.25">
      <c r="A2568" s="3" t="s">
        <v>2902</v>
      </c>
      <c r="B2568" s="3" t="s">
        <v>3160</v>
      </c>
      <c r="C2568" s="5"/>
      <c r="D2568" s="4" t="str">
        <f>HYPERLINK("http://www.intercariforef.org/formations/certification-80561.html","80561")</f>
        <v>80561</v>
      </c>
      <c r="E2568" s="5">
        <v>131137</v>
      </c>
      <c r="F2568" s="5" t="s">
        <v>10</v>
      </c>
      <c r="G2568" s="5" t="s">
        <v>11</v>
      </c>
      <c r="H2568" s="3" t="s">
        <v>2960</v>
      </c>
    </row>
    <row r="2569" spans="1:8" ht="27.6" x14ac:dyDescent="0.25">
      <c r="A2569" s="3" t="s">
        <v>2902</v>
      </c>
      <c r="B2569" s="3" t="s">
        <v>3161</v>
      </c>
      <c r="C2569" s="4" t="str">
        <f>HYPERLINK("http://www.rncp.cncp.gouv.fr/grand-public/visualisationFiche?format=fr&amp;fiche=12110","12110")</f>
        <v>12110</v>
      </c>
      <c r="D2569" s="4" t="str">
        <f>HYPERLINK("http://www.intercariforef.org/formations/certification-73828.html","73828")</f>
        <v>73828</v>
      </c>
      <c r="E2569" s="5">
        <v>131903</v>
      </c>
      <c r="F2569" s="5" t="s">
        <v>10</v>
      </c>
      <c r="G2569" s="5" t="s">
        <v>11</v>
      </c>
      <c r="H2569" s="3" t="s">
        <v>2923</v>
      </c>
    </row>
    <row r="2570" spans="1:8" ht="27.6" x14ac:dyDescent="0.25">
      <c r="A2570" s="3" t="s">
        <v>2902</v>
      </c>
      <c r="B2570" s="3" t="s">
        <v>3162</v>
      </c>
      <c r="C2570" s="4" t="str">
        <f>HYPERLINK("http://www.rncp.cncp.gouv.fr/grand-public/visualisationFiche?format=fr&amp;fiche=14638","14638")</f>
        <v>14638</v>
      </c>
      <c r="D2570" s="4" t="str">
        <f>HYPERLINK("http://www.intercariforef.org/formations/certification-76116.html","76116")</f>
        <v>76116</v>
      </c>
      <c r="E2570" s="5">
        <v>156482</v>
      </c>
      <c r="F2570" s="5" t="s">
        <v>10</v>
      </c>
      <c r="G2570" s="5" t="s">
        <v>11</v>
      </c>
      <c r="H2570" s="3" t="s">
        <v>3077</v>
      </c>
    </row>
    <row r="2571" spans="1:8" ht="27.6" x14ac:dyDescent="0.25">
      <c r="A2571" s="3" t="s">
        <v>2902</v>
      </c>
      <c r="B2571" s="3" t="s">
        <v>3163</v>
      </c>
      <c r="C2571" s="4" t="str">
        <f>HYPERLINK("http://www.rncp.cncp.gouv.fr/grand-public/visualisationFiche?format=fr&amp;fiche=14637","14637")</f>
        <v>14637</v>
      </c>
      <c r="D2571" s="4" t="str">
        <f>HYPERLINK("http://www.intercariforef.org/formations/certification-76115.html","76115")</f>
        <v>76115</v>
      </c>
      <c r="E2571" s="5">
        <v>156481</v>
      </c>
      <c r="F2571" s="5" t="s">
        <v>10</v>
      </c>
      <c r="G2571" s="5" t="s">
        <v>11</v>
      </c>
      <c r="H2571" s="3" t="s">
        <v>3077</v>
      </c>
    </row>
    <row r="2572" spans="1:8" ht="13.8" x14ac:dyDescent="0.25">
      <c r="A2572" s="3" t="s">
        <v>2902</v>
      </c>
      <c r="B2572" s="3" t="s">
        <v>3164</v>
      </c>
      <c r="C2572" s="4" t="str">
        <f>HYPERLINK("http://www.rncp.cncp.gouv.fr/grand-public/visualisationFiche?format=fr&amp;fiche=16266","16266")</f>
        <v>16266</v>
      </c>
      <c r="D2572" s="4" t="str">
        <f>HYPERLINK("http://www.intercariforef.org/formations/certification-80472.html","80472")</f>
        <v>80472</v>
      </c>
      <c r="E2572" s="5">
        <v>131904</v>
      </c>
      <c r="F2572" s="5" t="s">
        <v>10</v>
      </c>
      <c r="G2572" s="5" t="s">
        <v>11</v>
      </c>
      <c r="H2572" s="3" t="s">
        <v>3026</v>
      </c>
    </row>
    <row r="2573" spans="1:8" ht="27.6" x14ac:dyDescent="0.25">
      <c r="A2573" s="3" t="s">
        <v>2902</v>
      </c>
      <c r="B2573" s="3" t="s">
        <v>3165</v>
      </c>
      <c r="C2573" s="5"/>
      <c r="D2573" s="4" t="str">
        <f>HYPERLINK("http://www.intercariforef.org/formations/certification-76135.html","76135")</f>
        <v>76135</v>
      </c>
      <c r="E2573" s="5">
        <v>156487</v>
      </c>
      <c r="F2573" s="5" t="s">
        <v>10</v>
      </c>
      <c r="G2573" s="5" t="s">
        <v>11</v>
      </c>
      <c r="H2573" s="3" t="s">
        <v>3077</v>
      </c>
    </row>
    <row r="2574" spans="1:8" ht="27.6" x14ac:dyDescent="0.25">
      <c r="A2574" s="3" t="s">
        <v>2902</v>
      </c>
      <c r="B2574" s="3" t="s">
        <v>3166</v>
      </c>
      <c r="C2574" s="5"/>
      <c r="D2574" s="4" t="str">
        <f>HYPERLINK("http://www.intercariforef.org/formations/certification-50276.html","50276")</f>
        <v>50276</v>
      </c>
      <c r="E2574" s="5">
        <v>156494</v>
      </c>
      <c r="F2574" s="5" t="s">
        <v>10</v>
      </c>
      <c r="G2574" s="5" t="s">
        <v>11</v>
      </c>
      <c r="H2574" s="3" t="s">
        <v>3167</v>
      </c>
    </row>
    <row r="2575" spans="1:8" ht="27.6" x14ac:dyDescent="0.25">
      <c r="A2575" s="3" t="s">
        <v>2902</v>
      </c>
      <c r="B2575" s="3" t="s">
        <v>3168</v>
      </c>
      <c r="C2575" s="4" t="str">
        <f>HYPERLINK("http://www.rncp.cncp.gouv.fr/grand-public/visualisationFiche?format=fr&amp;fiche=23074","23074")</f>
        <v>23074</v>
      </c>
      <c r="D2575" s="4" t="str">
        <f>HYPERLINK("http://www.intercariforef.org/formations/certification-83135.html","83135")</f>
        <v>83135</v>
      </c>
      <c r="E2575" s="5">
        <v>162866</v>
      </c>
      <c r="F2575" s="5" t="s">
        <v>721</v>
      </c>
      <c r="G2575" s="5" t="s">
        <v>11</v>
      </c>
      <c r="H2575" s="3" t="s">
        <v>3169</v>
      </c>
    </row>
    <row r="2576" spans="1:8" ht="13.8" x14ac:dyDescent="0.25">
      <c r="A2576" s="3" t="s">
        <v>2902</v>
      </c>
      <c r="B2576" s="3" t="s">
        <v>3170</v>
      </c>
      <c r="C2576" s="4" t="str">
        <f>HYPERLINK("http://www.rncp.cncp.gouv.fr/grand-public/visualisationFiche?format=fr&amp;fiche=22079","22079")</f>
        <v>22079</v>
      </c>
      <c r="D2576" s="4" t="str">
        <f>HYPERLINK("http://www.intercariforef.org/formations/certification-79693.html","79693")</f>
        <v>79693</v>
      </c>
      <c r="E2576" s="5">
        <v>131859</v>
      </c>
      <c r="F2576" s="5" t="s">
        <v>10</v>
      </c>
      <c r="G2576" s="5" t="s">
        <v>11</v>
      </c>
      <c r="H2576" s="3" t="s">
        <v>2967</v>
      </c>
    </row>
    <row r="2577" spans="1:8" ht="13.8" x14ac:dyDescent="0.25">
      <c r="A2577" s="3" t="s">
        <v>2902</v>
      </c>
      <c r="B2577" s="3" t="s">
        <v>3171</v>
      </c>
      <c r="C2577" s="5"/>
      <c r="D2577" s="4" t="str">
        <f>HYPERLINK("http://www.intercariforef.org/formations/certification-58266.html","58266")</f>
        <v>58266</v>
      </c>
      <c r="E2577" s="5">
        <v>130815</v>
      </c>
      <c r="F2577" s="5" t="s">
        <v>10</v>
      </c>
      <c r="G2577" s="5" t="s">
        <v>11</v>
      </c>
      <c r="H2577" s="3" t="s">
        <v>2960</v>
      </c>
    </row>
    <row r="2578" spans="1:8" ht="27.6" x14ac:dyDescent="0.25">
      <c r="A2578" s="3" t="s">
        <v>2902</v>
      </c>
      <c r="B2578" s="3" t="s">
        <v>3172</v>
      </c>
      <c r="C2578" s="5"/>
      <c r="D2578" s="4" t="str">
        <f>HYPERLINK("http://www.intercariforef.org/formations/certification-50341.html","50341")</f>
        <v>50341</v>
      </c>
      <c r="E2578" s="5">
        <v>131906</v>
      </c>
      <c r="F2578" s="5" t="s">
        <v>10</v>
      </c>
      <c r="G2578" s="5" t="s">
        <v>11</v>
      </c>
      <c r="H2578" s="3" t="s">
        <v>2914</v>
      </c>
    </row>
    <row r="2579" spans="1:8" ht="27.6" x14ac:dyDescent="0.25">
      <c r="A2579" s="3" t="s">
        <v>2902</v>
      </c>
      <c r="B2579" s="3" t="s">
        <v>3173</v>
      </c>
      <c r="C2579" s="5"/>
      <c r="D2579" s="4" t="str">
        <f>HYPERLINK("http://www.intercariforef.org/formations/certification-81162.html","81162")</f>
        <v>81162</v>
      </c>
      <c r="E2579" s="5">
        <v>131905</v>
      </c>
      <c r="F2579" s="5" t="s">
        <v>10</v>
      </c>
      <c r="G2579" s="5" t="s">
        <v>11</v>
      </c>
      <c r="H2579" s="3" t="s">
        <v>2914</v>
      </c>
    </row>
    <row r="2580" spans="1:8" ht="27.6" x14ac:dyDescent="0.25">
      <c r="A2580" s="3" t="s">
        <v>2902</v>
      </c>
      <c r="B2580" s="3" t="s">
        <v>3174</v>
      </c>
      <c r="C2580" s="5"/>
      <c r="D2580" s="4" t="str">
        <f>HYPERLINK("http://www.intercariforef.org/formations/certification-81163.html","81163")</f>
        <v>81163</v>
      </c>
      <c r="E2580" s="5">
        <v>131907</v>
      </c>
      <c r="F2580" s="5" t="s">
        <v>10</v>
      </c>
      <c r="G2580" s="5" t="s">
        <v>11</v>
      </c>
      <c r="H2580" s="3" t="s">
        <v>2914</v>
      </c>
    </row>
    <row r="2581" spans="1:8" ht="13.8" x14ac:dyDescent="0.25">
      <c r="A2581" s="3" t="s">
        <v>2902</v>
      </c>
      <c r="B2581" s="3" t="s">
        <v>3175</v>
      </c>
      <c r="C2581" s="4" t="str">
        <f>HYPERLINK("http://www.rncp.cncp.gouv.fr/grand-public/visualisationFiche?format=fr&amp;fiche=20627","20627")</f>
        <v>20627</v>
      </c>
      <c r="D2581" s="4" t="str">
        <f>HYPERLINK("http://www.intercariforef.org/formations/certification-80946.html","80946")</f>
        <v>80946</v>
      </c>
      <c r="E2581" s="5">
        <v>162871</v>
      </c>
      <c r="F2581" s="5" t="s">
        <v>721</v>
      </c>
      <c r="G2581" s="5" t="s">
        <v>11</v>
      </c>
      <c r="H2581" s="3" t="s">
        <v>2938</v>
      </c>
    </row>
    <row r="2582" spans="1:8" ht="13.8" x14ac:dyDescent="0.25">
      <c r="A2582" s="3" t="s">
        <v>2902</v>
      </c>
      <c r="B2582" s="3" t="s">
        <v>3176</v>
      </c>
      <c r="C2582" s="4" t="str">
        <f>HYPERLINK("http://www.rncp.cncp.gouv.fr/grand-public/visualisationFiche?format=fr&amp;fiche=23712","23712")</f>
        <v>23712</v>
      </c>
      <c r="D2582" s="4" t="str">
        <f>HYPERLINK("http://www.intercariforef.org/formations/certification-83559.html","83559")</f>
        <v>83559</v>
      </c>
      <c r="E2582" s="5">
        <v>162872</v>
      </c>
      <c r="F2582" s="5" t="s">
        <v>721</v>
      </c>
      <c r="G2582" s="5" t="s">
        <v>11</v>
      </c>
      <c r="H2582" s="3" t="s">
        <v>3177</v>
      </c>
    </row>
    <row r="2583" spans="1:8" ht="13.8" x14ac:dyDescent="0.25">
      <c r="A2583" s="3" t="s">
        <v>2902</v>
      </c>
      <c r="B2583" s="3" t="s">
        <v>3178</v>
      </c>
      <c r="C2583" s="4" t="str">
        <f>HYPERLINK("http://www.rncp.cncp.gouv.fr/grand-public/visualisationFiche?format=fr&amp;fiche=16647","16647")</f>
        <v>16647</v>
      </c>
      <c r="D2583" s="4" t="str">
        <f>HYPERLINK("http://www.intercariforef.org/formations/certification-76679.html","76679")</f>
        <v>76679</v>
      </c>
      <c r="E2583" s="5">
        <v>162870</v>
      </c>
      <c r="F2583" s="5" t="s">
        <v>721</v>
      </c>
      <c r="G2583" s="5" t="s">
        <v>11</v>
      </c>
      <c r="H2583" s="3" t="s">
        <v>3086</v>
      </c>
    </row>
    <row r="2584" spans="1:8" ht="13.8" x14ac:dyDescent="0.25">
      <c r="A2584" s="3" t="s">
        <v>2902</v>
      </c>
      <c r="B2584" s="3" t="s">
        <v>3179</v>
      </c>
      <c r="C2584" s="4" t="str">
        <f>HYPERLINK("http://www.rncp.cncp.gouv.fr/grand-public/visualisationFiche?format=fr&amp;fiche=17332","17332")</f>
        <v>17332</v>
      </c>
      <c r="D2584" s="4" t="str">
        <f>HYPERLINK("http://www.intercariforef.org/formations/certification-78466.html","78466")</f>
        <v>78466</v>
      </c>
      <c r="E2584" s="5">
        <v>162869</v>
      </c>
      <c r="F2584" s="5" t="s">
        <v>721</v>
      </c>
      <c r="G2584" s="5" t="s">
        <v>11</v>
      </c>
      <c r="H2584" s="3" t="s">
        <v>3090</v>
      </c>
    </row>
    <row r="2585" spans="1:8" ht="27.6" x14ac:dyDescent="0.25">
      <c r="A2585" s="3" t="s">
        <v>2902</v>
      </c>
      <c r="B2585" s="3" t="s">
        <v>3180</v>
      </c>
      <c r="C2585" s="5"/>
      <c r="D2585" s="4" t="str">
        <f>HYPERLINK("http://www.intercariforef.org/formations/certification-50340.html","50340")</f>
        <v>50340</v>
      </c>
      <c r="E2585" s="5">
        <v>131858</v>
      </c>
      <c r="F2585" s="5" t="s">
        <v>10</v>
      </c>
      <c r="G2585" s="5" t="s">
        <v>11</v>
      </c>
      <c r="H2585" s="3" t="s">
        <v>2914</v>
      </c>
    </row>
    <row r="2586" spans="1:8" ht="27.6" x14ac:dyDescent="0.25">
      <c r="A2586" s="3" t="s">
        <v>2902</v>
      </c>
      <c r="B2586" s="3" t="s">
        <v>3181</v>
      </c>
      <c r="C2586" s="4" t="str">
        <f>HYPERLINK("http://www.rncp.cncp.gouv.fr/grand-public/visualisationFiche?format=fr&amp;fiche=21570","21570")</f>
        <v>21570</v>
      </c>
      <c r="D2586" s="4" t="str">
        <f>HYPERLINK("http://www.intercariforef.org/formations/certification-47373.html","47373")</f>
        <v>47373</v>
      </c>
      <c r="E2586" s="5">
        <v>162804</v>
      </c>
      <c r="F2586" s="5" t="s">
        <v>721</v>
      </c>
      <c r="G2586" s="5" t="s">
        <v>11</v>
      </c>
      <c r="H2586" s="3" t="s">
        <v>3182</v>
      </c>
    </row>
    <row r="2587" spans="1:8" ht="27.6" x14ac:dyDescent="0.25">
      <c r="A2587" s="3" t="s">
        <v>2902</v>
      </c>
      <c r="B2587" s="3" t="s">
        <v>3183</v>
      </c>
      <c r="C2587" s="4" t="str">
        <f>HYPERLINK("http://www.rncp.cncp.gouv.fr/grand-public/visualisationFiche?format=fr&amp;fiche=21570","21570")</f>
        <v>21570</v>
      </c>
      <c r="D2587" s="4" t="str">
        <f>HYPERLINK("http://www.intercariforef.org/formations/certification-83607.html","83607")</f>
        <v>83607</v>
      </c>
      <c r="E2587" s="5">
        <v>162807</v>
      </c>
      <c r="F2587" s="5" t="s">
        <v>721</v>
      </c>
      <c r="G2587" s="5" t="s">
        <v>11</v>
      </c>
      <c r="H2587" s="3" t="s">
        <v>3182</v>
      </c>
    </row>
    <row r="2588" spans="1:8" ht="27.6" x14ac:dyDescent="0.25">
      <c r="A2588" s="3" t="s">
        <v>2902</v>
      </c>
      <c r="B2588" s="3" t="s">
        <v>3184</v>
      </c>
      <c r="C2588" s="4" t="str">
        <f>HYPERLINK("http://www.rncp.cncp.gouv.fr/grand-public/visualisationFiche?format=fr&amp;fiche=21570","21570")</f>
        <v>21570</v>
      </c>
      <c r="D2588" s="4" t="str">
        <f>HYPERLINK("http://www.intercariforef.org/formations/certification-63713.html","63713")</f>
        <v>63713</v>
      </c>
      <c r="E2588" s="5">
        <v>162806</v>
      </c>
      <c r="F2588" s="5" t="s">
        <v>721</v>
      </c>
      <c r="G2588" s="5" t="s">
        <v>11</v>
      </c>
      <c r="H2588" s="3" t="s">
        <v>3182</v>
      </c>
    </row>
    <row r="2589" spans="1:8" ht="27.6" x14ac:dyDescent="0.25">
      <c r="A2589" s="3" t="s">
        <v>2902</v>
      </c>
      <c r="B2589" s="3" t="s">
        <v>3185</v>
      </c>
      <c r="C2589" s="4" t="str">
        <f>HYPERLINK("http://www.rncp.cncp.gouv.fr/grand-public/visualisationFiche?format=fr&amp;fiche=21570","21570")</f>
        <v>21570</v>
      </c>
      <c r="D2589" s="4" t="str">
        <f>HYPERLINK("http://www.intercariforef.org/formations/certification-63714.html","63714")</f>
        <v>63714</v>
      </c>
      <c r="E2589" s="5">
        <v>162805</v>
      </c>
      <c r="F2589" s="5" t="s">
        <v>721</v>
      </c>
      <c r="G2589" s="5" t="s">
        <v>11</v>
      </c>
      <c r="H2589" s="3" t="s">
        <v>3182</v>
      </c>
    </row>
    <row r="2590" spans="1:8" ht="27.6" x14ac:dyDescent="0.25">
      <c r="A2590" s="3" t="s">
        <v>2902</v>
      </c>
      <c r="B2590" s="3" t="s">
        <v>3186</v>
      </c>
      <c r="C2590" s="4" t="str">
        <f>HYPERLINK("http://www.rncp.cncp.gouv.fr/grand-public/visualisationFiche?format=fr&amp;fiche=19468","19468")</f>
        <v>19468</v>
      </c>
      <c r="D2590" s="4" t="str">
        <f>HYPERLINK("http://www.intercariforef.org/formations/certification-80145.html","80145")</f>
        <v>80145</v>
      </c>
      <c r="E2590" s="5">
        <v>140149</v>
      </c>
      <c r="F2590" s="5" t="s">
        <v>10</v>
      </c>
      <c r="G2590" s="5" t="s">
        <v>11</v>
      </c>
      <c r="H2590" s="3" t="s">
        <v>3187</v>
      </c>
    </row>
    <row r="2591" spans="1:8" ht="27.6" x14ac:dyDescent="0.25">
      <c r="A2591" s="3" t="s">
        <v>2902</v>
      </c>
      <c r="B2591" s="3" t="s">
        <v>3188</v>
      </c>
      <c r="C2591" s="5"/>
      <c r="D2591" s="4" t="str">
        <f>HYPERLINK("http://www.intercariforef.org/formations/certification-76893.html","76893")</f>
        <v>76893</v>
      </c>
      <c r="E2591" s="5">
        <v>156499</v>
      </c>
      <c r="F2591" s="5" t="s">
        <v>10</v>
      </c>
      <c r="G2591" s="5" t="s">
        <v>11</v>
      </c>
      <c r="H2591" s="3" t="s">
        <v>3167</v>
      </c>
    </row>
    <row r="2592" spans="1:8" ht="27.6" x14ac:dyDescent="0.25">
      <c r="A2592" s="3" t="s">
        <v>2902</v>
      </c>
      <c r="B2592" s="3" t="s">
        <v>3189</v>
      </c>
      <c r="C2592" s="5"/>
      <c r="D2592" s="4" t="str">
        <f>HYPERLINK("http://www.intercariforef.org/formations/certification-80851.html","80851")</f>
        <v>80851</v>
      </c>
      <c r="E2592" s="5">
        <v>131908</v>
      </c>
      <c r="F2592" s="5" t="s">
        <v>10</v>
      </c>
      <c r="G2592" s="5" t="s">
        <v>11</v>
      </c>
      <c r="H2592" s="3" t="s">
        <v>2914</v>
      </c>
    </row>
    <row r="2593" spans="1:8" ht="13.8" x14ac:dyDescent="0.25">
      <c r="A2593" s="3" t="s">
        <v>2902</v>
      </c>
      <c r="B2593" s="3" t="s">
        <v>3190</v>
      </c>
      <c r="C2593" s="5"/>
      <c r="D2593" s="4" t="str">
        <f>HYPERLINK("http://www.intercariforef.org/formations/certification-54068.html","54068")</f>
        <v>54068</v>
      </c>
      <c r="E2593" s="5">
        <v>140148</v>
      </c>
      <c r="F2593" s="5" t="s">
        <v>10</v>
      </c>
      <c r="G2593" s="5" t="s">
        <v>11</v>
      </c>
      <c r="H2593" s="3" t="s">
        <v>3191</v>
      </c>
    </row>
    <row r="2594" spans="1:8" ht="13.8" x14ac:dyDescent="0.25">
      <c r="A2594" s="3" t="s">
        <v>2902</v>
      </c>
      <c r="B2594" s="3" t="s">
        <v>3192</v>
      </c>
      <c r="C2594" s="5"/>
      <c r="D2594" s="4" t="str">
        <f>HYPERLINK("http://www.intercariforef.org/formations/certification-83552.html","83552")</f>
        <v>83552</v>
      </c>
      <c r="E2594" s="5">
        <v>146909</v>
      </c>
      <c r="F2594" s="5" t="s">
        <v>10</v>
      </c>
      <c r="G2594" s="5" t="s">
        <v>11</v>
      </c>
      <c r="H2594" s="3" t="s">
        <v>2912</v>
      </c>
    </row>
    <row r="2595" spans="1:8" ht="27.6" x14ac:dyDescent="0.25">
      <c r="A2595" s="3" t="s">
        <v>2902</v>
      </c>
      <c r="B2595" s="3" t="s">
        <v>3193</v>
      </c>
      <c r="C2595" s="5"/>
      <c r="D2595" s="4" t="str">
        <f>HYPERLINK("http://www.intercariforef.org/formations/certification-50303.html","50303")</f>
        <v>50303</v>
      </c>
      <c r="E2595" s="5">
        <v>156507</v>
      </c>
      <c r="F2595" s="5" t="s">
        <v>10</v>
      </c>
      <c r="G2595" s="5" t="s">
        <v>11</v>
      </c>
      <c r="H2595" s="3" t="s">
        <v>3167</v>
      </c>
    </row>
    <row r="2596" spans="1:8" ht="13.8" x14ac:dyDescent="0.25">
      <c r="A2596" s="3" t="s">
        <v>2902</v>
      </c>
      <c r="B2596" s="3" t="s">
        <v>3194</v>
      </c>
      <c r="C2596" s="5"/>
      <c r="D2596" s="4" t="str">
        <f>HYPERLINK("http://www.intercariforef.org/formations/certification-50277.html","50277")</f>
        <v>50277</v>
      </c>
      <c r="E2596" s="5">
        <v>132046</v>
      </c>
      <c r="F2596" s="5" t="s">
        <v>10</v>
      </c>
      <c r="G2596" s="5" t="s">
        <v>11</v>
      </c>
      <c r="H2596" s="3" t="s">
        <v>2989</v>
      </c>
    </row>
    <row r="2597" spans="1:8" ht="27.6" x14ac:dyDescent="0.25">
      <c r="A2597" s="3" t="s">
        <v>2902</v>
      </c>
      <c r="B2597" s="3" t="s">
        <v>3195</v>
      </c>
      <c r="C2597" s="4" t="str">
        <f>HYPERLINK("http://www.rncp.cncp.gouv.fr/grand-public/visualisationFiche?format=fr&amp;fiche=23026","23026")</f>
        <v>23026</v>
      </c>
      <c r="D2597" s="4" t="str">
        <f>HYPERLINK("http://www.intercariforef.org/formations/certification-50308.html","50308")</f>
        <v>50308</v>
      </c>
      <c r="E2597" s="5">
        <v>131909</v>
      </c>
      <c r="F2597" s="5" t="s">
        <v>10</v>
      </c>
      <c r="G2597" s="5" t="s">
        <v>11</v>
      </c>
      <c r="H2597" s="3" t="s">
        <v>3038</v>
      </c>
    </row>
    <row r="2598" spans="1:8" ht="27.6" x14ac:dyDescent="0.25">
      <c r="A2598" s="3" t="s">
        <v>2902</v>
      </c>
      <c r="B2598" s="3" t="s">
        <v>3196</v>
      </c>
      <c r="C2598" s="4" t="str">
        <f>HYPERLINK("http://www.rncp.cncp.gouv.fr/grand-public/visualisationFiche?format=fr&amp;fiche=5751","5751")</f>
        <v>5751</v>
      </c>
      <c r="D2598" s="4" t="str">
        <f>HYPERLINK("http://www.intercariforef.org/formations/certification-81031.html","81031")</f>
        <v>81031</v>
      </c>
      <c r="E2598" s="5">
        <v>131860</v>
      </c>
      <c r="F2598" s="5" t="s">
        <v>10</v>
      </c>
      <c r="G2598" s="5" t="s">
        <v>11</v>
      </c>
      <c r="H2598" s="3" t="s">
        <v>3038</v>
      </c>
    </row>
    <row r="2599" spans="1:8" ht="27.6" x14ac:dyDescent="0.25">
      <c r="A2599" s="3" t="s">
        <v>2902</v>
      </c>
      <c r="B2599" s="3" t="s">
        <v>3197</v>
      </c>
      <c r="C2599" s="4" t="str">
        <f>HYPERLINK("http://www.rncp.cncp.gouv.fr/grand-public/visualisationFiche?format=fr&amp;fiche=23027","23027")</f>
        <v>23027</v>
      </c>
      <c r="D2599" s="4" t="str">
        <f>HYPERLINK("http://www.intercariforef.org/formations/certification-50310.html","50310")</f>
        <v>50310</v>
      </c>
      <c r="E2599" s="5">
        <v>131912</v>
      </c>
      <c r="F2599" s="5" t="s">
        <v>10</v>
      </c>
      <c r="G2599" s="5" t="s">
        <v>11</v>
      </c>
      <c r="H2599" s="3" t="s">
        <v>3038</v>
      </c>
    </row>
    <row r="2600" spans="1:8" ht="27.6" x14ac:dyDescent="0.25">
      <c r="A2600" s="3" t="s">
        <v>2902</v>
      </c>
      <c r="B2600" s="3" t="s">
        <v>3198</v>
      </c>
      <c r="C2600" s="4" t="str">
        <f>HYPERLINK("http://www.rncp.cncp.gouv.fr/grand-public/visualisationFiche?format=fr&amp;fiche=12070","12070")</f>
        <v>12070</v>
      </c>
      <c r="D2600" s="4" t="str">
        <f>HYPERLINK("http://www.intercariforef.org/formations/certification-73825.html","73825")</f>
        <v>73825</v>
      </c>
      <c r="E2600" s="5">
        <v>131913</v>
      </c>
      <c r="F2600" s="5" t="s">
        <v>10</v>
      </c>
      <c r="G2600" s="5" t="s">
        <v>11</v>
      </c>
      <c r="H2600" s="3" t="s">
        <v>2983</v>
      </c>
    </row>
    <row r="2601" spans="1:8" ht="27.6" x14ac:dyDescent="0.25">
      <c r="A2601" s="3" t="s">
        <v>2902</v>
      </c>
      <c r="B2601" s="3" t="s">
        <v>3199</v>
      </c>
      <c r="C2601" s="4" t="str">
        <f>HYPERLINK("http://www.rncp.cncp.gouv.fr/grand-public/visualisationFiche?format=fr&amp;fiche=5750","5750")</f>
        <v>5750</v>
      </c>
      <c r="D2601" s="4" t="str">
        <f>HYPERLINK("http://www.intercariforef.org/formations/certification-81032.html","81032")</f>
        <v>81032</v>
      </c>
      <c r="E2601" s="5">
        <v>131911</v>
      </c>
      <c r="F2601" s="5" t="s">
        <v>10</v>
      </c>
      <c r="G2601" s="5" t="s">
        <v>11</v>
      </c>
      <c r="H2601" s="3" t="s">
        <v>3038</v>
      </c>
    </row>
    <row r="2602" spans="1:8" ht="27.6" x14ac:dyDescent="0.25">
      <c r="A2602" s="3" t="s">
        <v>2902</v>
      </c>
      <c r="B2602" s="3" t="s">
        <v>3200</v>
      </c>
      <c r="C2602" s="5"/>
      <c r="D2602" s="4" t="str">
        <f>HYPERLINK("http://www.intercariforef.org/formations/certification-82803.html","82803")</f>
        <v>82803</v>
      </c>
      <c r="E2602" s="5">
        <v>131910</v>
      </c>
      <c r="F2602" s="5" t="s">
        <v>10</v>
      </c>
      <c r="G2602" s="5" t="s">
        <v>11</v>
      </c>
      <c r="H2602" s="3" t="s">
        <v>3038</v>
      </c>
    </row>
    <row r="2603" spans="1:8" ht="13.8" x14ac:dyDescent="0.25">
      <c r="A2603" s="3" t="s">
        <v>2902</v>
      </c>
      <c r="B2603" s="3" t="s">
        <v>3201</v>
      </c>
      <c r="C2603" s="5"/>
      <c r="D2603" s="4" t="str">
        <f>HYPERLINK("http://www.intercariforef.org/formations/certification-80854.html","80854")</f>
        <v>80854</v>
      </c>
      <c r="E2603" s="5">
        <v>131923</v>
      </c>
      <c r="F2603" s="5" t="s">
        <v>10</v>
      </c>
      <c r="G2603" s="5" t="s">
        <v>11</v>
      </c>
      <c r="H2603" s="3" t="s">
        <v>3202</v>
      </c>
    </row>
    <row r="2604" spans="1:8" ht="13.8" x14ac:dyDescent="0.25">
      <c r="A2604" s="3" t="s">
        <v>2902</v>
      </c>
      <c r="B2604" s="3" t="s">
        <v>3203</v>
      </c>
      <c r="C2604" s="5"/>
      <c r="D2604" s="4" t="str">
        <f>HYPERLINK("http://www.intercariforef.org/formations/certification-50534.html","50534")</f>
        <v>50534</v>
      </c>
      <c r="E2604" s="5">
        <v>144566</v>
      </c>
      <c r="F2604" s="5" t="s">
        <v>10</v>
      </c>
      <c r="G2604" s="5" t="s">
        <v>11</v>
      </c>
      <c r="H2604" s="3" t="s">
        <v>3204</v>
      </c>
    </row>
    <row r="2605" spans="1:8" ht="13.8" x14ac:dyDescent="0.25">
      <c r="A2605" s="3" t="s">
        <v>2902</v>
      </c>
      <c r="B2605" s="3" t="s">
        <v>3205</v>
      </c>
      <c r="C2605" s="5"/>
      <c r="D2605" s="4" t="str">
        <f>HYPERLINK("http://www.intercariforef.org/formations/certification-50448.html","50448")</f>
        <v>50448</v>
      </c>
      <c r="E2605" s="5">
        <v>144561</v>
      </c>
      <c r="F2605" s="5" t="s">
        <v>10</v>
      </c>
      <c r="G2605" s="5" t="s">
        <v>11</v>
      </c>
      <c r="H2605" s="3" t="s">
        <v>3204</v>
      </c>
    </row>
    <row r="2606" spans="1:8" ht="13.8" x14ac:dyDescent="0.25">
      <c r="A2606" s="3" t="s">
        <v>2902</v>
      </c>
      <c r="B2606" s="3" t="s">
        <v>3206</v>
      </c>
      <c r="C2606" s="5"/>
      <c r="D2606" s="4" t="str">
        <f>HYPERLINK("http://www.intercariforef.org/formations/certification-74515.html","74515")</f>
        <v>74515</v>
      </c>
      <c r="E2606" s="5">
        <v>144572</v>
      </c>
      <c r="F2606" s="5" t="s">
        <v>10</v>
      </c>
      <c r="G2606" s="5" t="s">
        <v>11</v>
      </c>
      <c r="H2606" s="3" t="s">
        <v>3204</v>
      </c>
    </row>
    <row r="2607" spans="1:8" ht="13.8" x14ac:dyDescent="0.25">
      <c r="A2607" s="3" t="s">
        <v>2902</v>
      </c>
      <c r="B2607" s="3" t="s">
        <v>3207</v>
      </c>
      <c r="C2607" s="4" t="str">
        <f>HYPERLINK("http://www.rncp.cncp.gouv.fr/grand-public/visualisationFiche?format=fr&amp;fiche=23021","23021")</f>
        <v>23021</v>
      </c>
      <c r="D2607" s="4" t="str">
        <f>HYPERLINK("http://www.intercariforef.org/formations/certification-23137.html","23137")</f>
        <v>23137</v>
      </c>
      <c r="E2607" s="5">
        <v>144574</v>
      </c>
      <c r="F2607" s="5" t="s">
        <v>10</v>
      </c>
      <c r="G2607" s="5" t="s">
        <v>11</v>
      </c>
      <c r="H2607" s="3" t="s">
        <v>3204</v>
      </c>
    </row>
    <row r="2608" spans="1:8" ht="13.8" x14ac:dyDescent="0.25">
      <c r="A2608" s="3" t="s">
        <v>2902</v>
      </c>
      <c r="B2608" s="3" t="s">
        <v>3208</v>
      </c>
      <c r="C2608" s="4" t="str">
        <f>HYPERLINK("http://www.rncp.cncp.gouv.fr/grand-public/visualisationFiche?format=fr&amp;fiche=21801","21801")</f>
        <v>21801</v>
      </c>
      <c r="D2608" s="4" t="str">
        <f>HYPERLINK("http://www.intercariforef.org/formations/certification-81153.html","81153")</f>
        <v>81153</v>
      </c>
      <c r="E2608" s="5">
        <v>144575</v>
      </c>
      <c r="F2608" s="5" t="s">
        <v>10</v>
      </c>
      <c r="G2608" s="5" t="s">
        <v>11</v>
      </c>
      <c r="H2608" s="3" t="s">
        <v>3204</v>
      </c>
    </row>
    <row r="2609" spans="1:8" ht="13.8" x14ac:dyDescent="0.25">
      <c r="A2609" s="3" t="s">
        <v>2902</v>
      </c>
      <c r="B2609" s="3" t="s">
        <v>3209</v>
      </c>
      <c r="C2609" s="5"/>
      <c r="D2609" s="4" t="str">
        <f>HYPERLINK("http://www.intercariforef.org/formations/certification-81151.html","81151")</f>
        <v>81151</v>
      </c>
      <c r="E2609" s="5">
        <v>144576</v>
      </c>
      <c r="F2609" s="5" t="s">
        <v>10</v>
      </c>
      <c r="G2609" s="5" t="s">
        <v>11</v>
      </c>
      <c r="H2609" s="3" t="s">
        <v>3204</v>
      </c>
    </row>
    <row r="2610" spans="1:8" ht="13.8" x14ac:dyDescent="0.25">
      <c r="A2610" s="3" t="s">
        <v>2902</v>
      </c>
      <c r="B2610" s="3" t="s">
        <v>3210</v>
      </c>
      <c r="C2610" s="5"/>
      <c r="D2610" s="4" t="str">
        <f>HYPERLINK("http://www.intercariforef.org/formations/certification-50467.html","50467")</f>
        <v>50467</v>
      </c>
      <c r="E2610" s="5">
        <v>144577</v>
      </c>
      <c r="F2610" s="5" t="s">
        <v>10</v>
      </c>
      <c r="G2610" s="5" t="s">
        <v>11</v>
      </c>
      <c r="H2610" s="3" t="s">
        <v>3204</v>
      </c>
    </row>
    <row r="2611" spans="1:8" ht="13.8" x14ac:dyDescent="0.25">
      <c r="A2611" s="3" t="s">
        <v>2902</v>
      </c>
      <c r="B2611" s="3" t="s">
        <v>3211</v>
      </c>
      <c r="C2611" s="5"/>
      <c r="D2611" s="4" t="str">
        <f>HYPERLINK("http://www.intercariforef.org/formations/certification-50486.html","50486")</f>
        <v>50486</v>
      </c>
      <c r="E2611" s="5">
        <v>144578</v>
      </c>
      <c r="F2611" s="5" t="s">
        <v>10</v>
      </c>
      <c r="G2611" s="5" t="s">
        <v>11</v>
      </c>
      <c r="H2611" s="3" t="s">
        <v>3204</v>
      </c>
    </row>
    <row r="2612" spans="1:8" ht="13.8" x14ac:dyDescent="0.25">
      <c r="A2612" s="3" t="s">
        <v>2902</v>
      </c>
      <c r="B2612" s="3" t="s">
        <v>3212</v>
      </c>
      <c r="C2612" s="5"/>
      <c r="D2612" s="4" t="str">
        <f>HYPERLINK("http://www.intercariforef.org/formations/certification-23153.html","23153")</f>
        <v>23153</v>
      </c>
      <c r="E2612" s="5">
        <v>144580</v>
      </c>
      <c r="F2612" s="5" t="s">
        <v>10</v>
      </c>
      <c r="G2612" s="5" t="s">
        <v>11</v>
      </c>
      <c r="H2612" s="3" t="s">
        <v>3204</v>
      </c>
    </row>
    <row r="2613" spans="1:8" ht="13.8" x14ac:dyDescent="0.25">
      <c r="A2613" s="3" t="s">
        <v>2902</v>
      </c>
      <c r="B2613" s="3" t="s">
        <v>3213</v>
      </c>
      <c r="C2613" s="5"/>
      <c r="D2613" s="4" t="str">
        <f>HYPERLINK("http://www.intercariforef.org/formations/certification-74473.html","74473")</f>
        <v>74473</v>
      </c>
      <c r="E2613" s="5">
        <v>144581</v>
      </c>
      <c r="F2613" s="5" t="s">
        <v>10</v>
      </c>
      <c r="G2613" s="5" t="s">
        <v>11</v>
      </c>
      <c r="H2613" s="3" t="s">
        <v>3204</v>
      </c>
    </row>
    <row r="2614" spans="1:8" ht="13.8" x14ac:dyDescent="0.25">
      <c r="A2614" s="3" t="s">
        <v>2902</v>
      </c>
      <c r="B2614" s="3" t="s">
        <v>3214</v>
      </c>
      <c r="C2614" s="5"/>
      <c r="D2614" s="4" t="str">
        <f>HYPERLINK("http://www.intercariforef.org/formations/certification-74498.html","74498")</f>
        <v>74498</v>
      </c>
      <c r="E2614" s="5">
        <v>144582</v>
      </c>
      <c r="F2614" s="5" t="s">
        <v>10</v>
      </c>
      <c r="G2614" s="5" t="s">
        <v>11</v>
      </c>
      <c r="H2614" s="3" t="s">
        <v>3204</v>
      </c>
    </row>
    <row r="2615" spans="1:8" ht="27.6" x14ac:dyDescent="0.25">
      <c r="A2615" s="3" t="s">
        <v>2902</v>
      </c>
      <c r="B2615" s="3" t="s">
        <v>3215</v>
      </c>
      <c r="C2615" s="5"/>
      <c r="D2615" s="4" t="str">
        <f>HYPERLINK("http://www.intercariforef.org/formations/certification-74507.html","74507")</f>
        <v>74507</v>
      </c>
      <c r="E2615" s="5">
        <v>144583</v>
      </c>
      <c r="F2615" s="5" t="s">
        <v>10</v>
      </c>
      <c r="G2615" s="5" t="s">
        <v>11</v>
      </c>
      <c r="H2615" s="3" t="s">
        <v>3204</v>
      </c>
    </row>
    <row r="2616" spans="1:8" ht="13.8" x14ac:dyDescent="0.25">
      <c r="A2616" s="3" t="s">
        <v>2902</v>
      </c>
      <c r="B2616" s="3" t="s">
        <v>3216</v>
      </c>
      <c r="C2616" s="5"/>
      <c r="D2616" s="4" t="str">
        <f>HYPERLINK("http://www.intercariforef.org/formations/certification-50508.html","50508")</f>
        <v>50508</v>
      </c>
      <c r="E2616" s="5">
        <v>144584</v>
      </c>
      <c r="F2616" s="5" t="s">
        <v>10</v>
      </c>
      <c r="G2616" s="5" t="s">
        <v>11</v>
      </c>
      <c r="H2616" s="3" t="s">
        <v>3204</v>
      </c>
    </row>
    <row r="2617" spans="1:8" ht="13.8" x14ac:dyDescent="0.25">
      <c r="A2617" s="3" t="s">
        <v>2902</v>
      </c>
      <c r="B2617" s="3" t="s">
        <v>3217</v>
      </c>
      <c r="C2617" s="5"/>
      <c r="D2617" s="4" t="str">
        <f>HYPERLINK("http://www.intercariforef.org/formations/certification-74518.html","74518")</f>
        <v>74518</v>
      </c>
      <c r="E2617" s="5">
        <v>144585</v>
      </c>
      <c r="F2617" s="5" t="s">
        <v>10</v>
      </c>
      <c r="G2617" s="5" t="s">
        <v>11</v>
      </c>
      <c r="H2617" s="3" t="s">
        <v>3204</v>
      </c>
    </row>
    <row r="2618" spans="1:8" ht="13.8" x14ac:dyDescent="0.25">
      <c r="A2618" s="3" t="s">
        <v>2902</v>
      </c>
      <c r="B2618" s="3" t="s">
        <v>3218</v>
      </c>
      <c r="C2618" s="5"/>
      <c r="D2618" s="4" t="str">
        <f>HYPERLINK("http://www.intercariforef.org/formations/certification-54048.html","54048")</f>
        <v>54048</v>
      </c>
      <c r="E2618" s="5">
        <v>144586</v>
      </c>
      <c r="F2618" s="5" t="s">
        <v>10</v>
      </c>
      <c r="G2618" s="5" t="s">
        <v>11</v>
      </c>
      <c r="H2618" s="3" t="s">
        <v>3204</v>
      </c>
    </row>
    <row r="2619" spans="1:8" ht="13.8" x14ac:dyDescent="0.25">
      <c r="A2619" s="3" t="s">
        <v>2902</v>
      </c>
      <c r="B2619" s="3" t="s">
        <v>3219</v>
      </c>
      <c r="C2619" s="5"/>
      <c r="D2619" s="4" t="str">
        <f>HYPERLINK("http://www.intercariforef.org/formations/certification-74504.html","74504")</f>
        <v>74504</v>
      </c>
      <c r="E2619" s="5">
        <v>144623</v>
      </c>
      <c r="F2619" s="5" t="s">
        <v>10</v>
      </c>
      <c r="G2619" s="5" t="s">
        <v>11</v>
      </c>
      <c r="H2619" s="3" t="s">
        <v>3204</v>
      </c>
    </row>
    <row r="2620" spans="1:8" ht="13.8" x14ac:dyDescent="0.25">
      <c r="A2620" s="3" t="s">
        <v>2902</v>
      </c>
      <c r="B2620" s="3" t="s">
        <v>3220</v>
      </c>
      <c r="C2620" s="4" t="str">
        <f>HYPERLINK("http://www.rncp.cncp.gouv.fr/grand-public/visualisationFiche?format=fr&amp;fiche=19460","19460")</f>
        <v>19460</v>
      </c>
      <c r="D2620" s="4" t="str">
        <f>HYPERLINK("http://www.intercariforef.org/formations/certification-23163.html","23163")</f>
        <v>23163</v>
      </c>
      <c r="E2620" s="5">
        <v>144560</v>
      </c>
      <c r="F2620" s="5" t="s">
        <v>10</v>
      </c>
      <c r="G2620" s="5" t="s">
        <v>11</v>
      </c>
      <c r="H2620" s="3" t="s">
        <v>3204</v>
      </c>
    </row>
    <row r="2621" spans="1:8" ht="13.8" x14ac:dyDescent="0.25">
      <c r="A2621" s="3" t="s">
        <v>2902</v>
      </c>
      <c r="B2621" s="3" t="s">
        <v>3221</v>
      </c>
      <c r="C2621" s="5"/>
      <c r="D2621" s="4" t="str">
        <f>HYPERLINK("http://www.intercariforef.org/formations/certification-23162.html","23162")</f>
        <v>23162</v>
      </c>
      <c r="E2621" s="5">
        <v>144595</v>
      </c>
      <c r="F2621" s="5" t="s">
        <v>10</v>
      </c>
      <c r="G2621" s="5" t="s">
        <v>11</v>
      </c>
      <c r="H2621" s="3" t="s">
        <v>3204</v>
      </c>
    </row>
    <row r="2622" spans="1:8" ht="13.8" x14ac:dyDescent="0.25">
      <c r="A2622" s="3" t="s">
        <v>2902</v>
      </c>
      <c r="B2622" s="3" t="s">
        <v>3222</v>
      </c>
      <c r="C2622" s="5"/>
      <c r="D2622" s="4" t="str">
        <f>HYPERLINK("http://www.intercariforef.org/formations/certification-83652.html","83652")</f>
        <v>83652</v>
      </c>
      <c r="E2622" s="5">
        <v>144602</v>
      </c>
      <c r="F2622" s="5" t="s">
        <v>10</v>
      </c>
      <c r="G2622" s="5" t="s">
        <v>11</v>
      </c>
      <c r="H2622" s="3" t="s">
        <v>3204</v>
      </c>
    </row>
    <row r="2623" spans="1:8" ht="13.8" x14ac:dyDescent="0.25">
      <c r="A2623" s="3" t="s">
        <v>2902</v>
      </c>
      <c r="B2623" s="3" t="s">
        <v>3223</v>
      </c>
      <c r="C2623" s="5"/>
      <c r="D2623" s="4" t="str">
        <f>HYPERLINK("http://www.intercariforef.org/formations/certification-74470.html","74470")</f>
        <v>74470</v>
      </c>
      <c r="E2623" s="5">
        <v>144604</v>
      </c>
      <c r="F2623" s="5" t="s">
        <v>10</v>
      </c>
      <c r="G2623" s="5" t="s">
        <v>11</v>
      </c>
      <c r="H2623" s="3" t="s">
        <v>3204</v>
      </c>
    </row>
    <row r="2624" spans="1:8" ht="13.8" x14ac:dyDescent="0.25">
      <c r="A2624" s="3" t="s">
        <v>2902</v>
      </c>
      <c r="B2624" s="3" t="s">
        <v>3224</v>
      </c>
      <c r="C2624" s="4" t="str">
        <f>HYPERLINK("http://www.rncp.cncp.gouv.fr/grand-public/visualisationFiche?format=fr&amp;fiche=21804","21804")</f>
        <v>21804</v>
      </c>
      <c r="D2624" s="4" t="str">
        <f>HYPERLINK("http://www.intercariforef.org/formations/certification-23172.html","23172")</f>
        <v>23172</v>
      </c>
      <c r="E2624" s="5">
        <v>144605</v>
      </c>
      <c r="F2624" s="5" t="s">
        <v>10</v>
      </c>
      <c r="G2624" s="5" t="s">
        <v>11</v>
      </c>
      <c r="H2624" s="3" t="s">
        <v>3204</v>
      </c>
    </row>
    <row r="2625" spans="1:8" ht="13.8" x14ac:dyDescent="0.25">
      <c r="A2625" s="3" t="s">
        <v>2902</v>
      </c>
      <c r="B2625" s="3" t="s">
        <v>3225</v>
      </c>
      <c r="C2625" s="5"/>
      <c r="D2625" s="4" t="str">
        <f>HYPERLINK("http://www.intercariforef.org/formations/certification-74471.html","74471")</f>
        <v>74471</v>
      </c>
      <c r="E2625" s="5">
        <v>144606</v>
      </c>
      <c r="F2625" s="5" t="s">
        <v>10</v>
      </c>
      <c r="G2625" s="5" t="s">
        <v>11</v>
      </c>
      <c r="H2625" s="3" t="s">
        <v>3204</v>
      </c>
    </row>
    <row r="2626" spans="1:8" ht="13.8" x14ac:dyDescent="0.25">
      <c r="A2626" s="3" t="s">
        <v>2902</v>
      </c>
      <c r="B2626" s="3" t="s">
        <v>3226</v>
      </c>
      <c r="C2626" s="5"/>
      <c r="D2626" s="4" t="str">
        <f>HYPERLINK("http://www.intercariforef.org/formations/certification-54090.html","54090")</f>
        <v>54090</v>
      </c>
      <c r="E2626" s="5">
        <v>144607</v>
      </c>
      <c r="F2626" s="5" t="s">
        <v>10</v>
      </c>
      <c r="G2626" s="5" t="s">
        <v>11</v>
      </c>
      <c r="H2626" s="3" t="s">
        <v>3204</v>
      </c>
    </row>
    <row r="2627" spans="1:8" ht="13.8" x14ac:dyDescent="0.25">
      <c r="A2627" s="3" t="s">
        <v>2902</v>
      </c>
      <c r="B2627" s="3" t="s">
        <v>3227</v>
      </c>
      <c r="C2627" s="5"/>
      <c r="D2627" s="4" t="str">
        <f>HYPERLINK("http://www.intercariforef.org/formations/certification-74506.html","74506")</f>
        <v>74506</v>
      </c>
      <c r="E2627" s="5">
        <v>144608</v>
      </c>
      <c r="F2627" s="5" t="s">
        <v>10</v>
      </c>
      <c r="G2627" s="5" t="s">
        <v>11</v>
      </c>
      <c r="H2627" s="3" t="s">
        <v>3204</v>
      </c>
    </row>
    <row r="2628" spans="1:8" ht="13.8" x14ac:dyDescent="0.25">
      <c r="A2628" s="3" t="s">
        <v>2902</v>
      </c>
      <c r="B2628" s="3" t="s">
        <v>3228</v>
      </c>
      <c r="C2628" s="5"/>
      <c r="D2628" s="4" t="str">
        <f>HYPERLINK("http://www.intercariforef.org/formations/certification-23166.html","23166")</f>
        <v>23166</v>
      </c>
      <c r="E2628" s="5">
        <v>144603</v>
      </c>
      <c r="F2628" s="5" t="s">
        <v>10</v>
      </c>
      <c r="G2628" s="5" t="s">
        <v>11</v>
      </c>
      <c r="H2628" s="3" t="s">
        <v>3204</v>
      </c>
    </row>
    <row r="2629" spans="1:8" ht="13.8" x14ac:dyDescent="0.25">
      <c r="A2629" s="3" t="s">
        <v>2902</v>
      </c>
      <c r="B2629" s="3" t="s">
        <v>3229</v>
      </c>
      <c r="C2629" s="5"/>
      <c r="D2629" s="4" t="str">
        <f>HYPERLINK("http://www.intercariforef.org/formations/certification-85349.html","85349")</f>
        <v>85349</v>
      </c>
      <c r="E2629" s="5">
        <v>156516</v>
      </c>
      <c r="F2629" s="5" t="s">
        <v>10</v>
      </c>
      <c r="G2629" s="5" t="s">
        <v>11</v>
      </c>
      <c r="H2629" s="3" t="s">
        <v>3204</v>
      </c>
    </row>
    <row r="2630" spans="1:8" ht="13.8" x14ac:dyDescent="0.25">
      <c r="A2630" s="3" t="s">
        <v>2902</v>
      </c>
      <c r="B2630" s="3" t="s">
        <v>3230</v>
      </c>
      <c r="C2630" s="5"/>
      <c r="D2630" s="4" t="str">
        <f>HYPERLINK("http://www.intercariforef.org/formations/certification-74509.html","74509")</f>
        <v>74509</v>
      </c>
      <c r="E2630" s="5">
        <v>144609</v>
      </c>
      <c r="F2630" s="5" t="s">
        <v>10</v>
      </c>
      <c r="G2630" s="5" t="s">
        <v>11</v>
      </c>
      <c r="H2630" s="3" t="s">
        <v>3204</v>
      </c>
    </row>
    <row r="2631" spans="1:8" ht="27.6" x14ac:dyDescent="0.25">
      <c r="A2631" s="3" t="s">
        <v>2902</v>
      </c>
      <c r="B2631" s="3" t="s">
        <v>3231</v>
      </c>
      <c r="C2631" s="5"/>
      <c r="D2631" s="4" t="str">
        <f>HYPERLINK("http://www.intercariforef.org/formations/certification-54093.html","54093")</f>
        <v>54093</v>
      </c>
      <c r="E2631" s="5">
        <v>144599</v>
      </c>
      <c r="F2631" s="5" t="s">
        <v>10</v>
      </c>
      <c r="G2631" s="5" t="s">
        <v>11</v>
      </c>
      <c r="H2631" s="3" t="s">
        <v>3204</v>
      </c>
    </row>
    <row r="2632" spans="1:8" ht="13.8" x14ac:dyDescent="0.25">
      <c r="A2632" s="3" t="s">
        <v>2902</v>
      </c>
      <c r="B2632" s="3" t="s">
        <v>3232</v>
      </c>
      <c r="C2632" s="4" t="str">
        <f>HYPERLINK("http://www.rncp.cncp.gouv.fr/grand-public/visualisationFiche?format=fr&amp;fiche=23023","23023")</f>
        <v>23023</v>
      </c>
      <c r="D2632" s="4" t="str">
        <f>HYPERLINK("http://www.intercariforef.org/formations/certification-57804.html","57804")</f>
        <v>57804</v>
      </c>
      <c r="E2632" s="5">
        <v>144601</v>
      </c>
      <c r="F2632" s="5" t="s">
        <v>10</v>
      </c>
      <c r="G2632" s="5" t="s">
        <v>11</v>
      </c>
      <c r="H2632" s="3" t="s">
        <v>3204</v>
      </c>
    </row>
    <row r="2633" spans="1:8" ht="13.8" x14ac:dyDescent="0.25">
      <c r="A2633" s="3" t="s">
        <v>2902</v>
      </c>
      <c r="B2633" s="3" t="s">
        <v>3233</v>
      </c>
      <c r="C2633" s="5"/>
      <c r="D2633" s="4" t="str">
        <f>HYPERLINK("http://www.intercariforef.org/formations/certification-23185.html","23185")</f>
        <v>23185</v>
      </c>
      <c r="E2633" s="5">
        <v>144592</v>
      </c>
      <c r="F2633" s="5" t="s">
        <v>10</v>
      </c>
      <c r="G2633" s="5" t="s">
        <v>11</v>
      </c>
      <c r="H2633" s="3" t="s">
        <v>3204</v>
      </c>
    </row>
    <row r="2634" spans="1:8" ht="13.8" x14ac:dyDescent="0.25">
      <c r="A2634" s="3" t="s">
        <v>2902</v>
      </c>
      <c r="B2634" s="3" t="s">
        <v>3234</v>
      </c>
      <c r="C2634" s="5"/>
      <c r="D2634" s="4" t="str">
        <f>HYPERLINK("http://www.intercariforef.org/formations/certification-23190.html","23190")</f>
        <v>23190</v>
      </c>
      <c r="E2634" s="5">
        <v>144621</v>
      </c>
      <c r="F2634" s="5" t="s">
        <v>10</v>
      </c>
      <c r="G2634" s="5" t="s">
        <v>11</v>
      </c>
      <c r="H2634" s="3" t="s">
        <v>3204</v>
      </c>
    </row>
    <row r="2635" spans="1:8" ht="13.8" x14ac:dyDescent="0.25">
      <c r="A2635" s="3" t="s">
        <v>2902</v>
      </c>
      <c r="B2635" s="3" t="s">
        <v>3235</v>
      </c>
      <c r="C2635" s="4" t="str">
        <f>HYPERLINK("http://www.rncp.cncp.gouv.fr/grand-public/visualisationFiche?format=fr&amp;fiche=19459","19459")</f>
        <v>19459</v>
      </c>
      <c r="D2635" s="4" t="str">
        <f>HYPERLINK("http://www.intercariforef.org/formations/certification-23199.html","23199")</f>
        <v>23199</v>
      </c>
      <c r="E2635" s="5">
        <v>144622</v>
      </c>
      <c r="F2635" s="5" t="s">
        <v>10</v>
      </c>
      <c r="G2635" s="5" t="s">
        <v>11</v>
      </c>
      <c r="H2635" s="3" t="s">
        <v>3204</v>
      </c>
    </row>
    <row r="2636" spans="1:8" ht="13.8" x14ac:dyDescent="0.25">
      <c r="A2636" s="3" t="s">
        <v>2902</v>
      </c>
      <c r="B2636" s="3" t="s">
        <v>3236</v>
      </c>
      <c r="C2636" s="5"/>
      <c r="D2636" s="4" t="str">
        <f>HYPERLINK("http://www.intercariforef.org/formations/certification-55896.html","55896")</f>
        <v>55896</v>
      </c>
      <c r="E2636" s="5">
        <v>146843</v>
      </c>
      <c r="F2636" s="5" t="s">
        <v>10</v>
      </c>
      <c r="G2636" s="5" t="s">
        <v>11</v>
      </c>
      <c r="H2636" s="3" t="s">
        <v>81</v>
      </c>
    </row>
    <row r="2637" spans="1:8" ht="13.8" x14ac:dyDescent="0.25">
      <c r="A2637" s="3" t="s">
        <v>2902</v>
      </c>
      <c r="B2637" s="3" t="s">
        <v>3237</v>
      </c>
      <c r="C2637" s="5"/>
      <c r="D2637" s="4" t="str">
        <f>HYPERLINK("http://www.intercariforef.org/formations/certification-55895.html","55895")</f>
        <v>55895</v>
      </c>
      <c r="E2637" s="5">
        <v>146842</v>
      </c>
      <c r="F2637" s="5" t="s">
        <v>10</v>
      </c>
      <c r="G2637" s="5" t="s">
        <v>11</v>
      </c>
      <c r="H2637" s="3" t="s">
        <v>81</v>
      </c>
    </row>
    <row r="2638" spans="1:8" ht="13.8" x14ac:dyDescent="0.25">
      <c r="A2638" s="3" t="s">
        <v>2902</v>
      </c>
      <c r="B2638" s="3" t="s">
        <v>3238</v>
      </c>
      <c r="C2638" s="5"/>
      <c r="D2638" s="4" t="str">
        <f>HYPERLINK("http://www.intercariforef.org/formations/certification-84634.html","84634")</f>
        <v>84634</v>
      </c>
      <c r="E2638" s="5">
        <v>146859</v>
      </c>
      <c r="F2638" s="5" t="s">
        <v>10</v>
      </c>
      <c r="G2638" s="5" t="s">
        <v>11</v>
      </c>
      <c r="H2638" s="3" t="s">
        <v>81</v>
      </c>
    </row>
    <row r="2639" spans="1:8" ht="13.8" x14ac:dyDescent="0.25">
      <c r="A2639" s="3" t="s">
        <v>2902</v>
      </c>
      <c r="B2639" s="3" t="s">
        <v>3239</v>
      </c>
      <c r="C2639" s="5"/>
      <c r="D2639" s="4" t="str">
        <f>HYPERLINK("http://www.intercariforef.org/formations/certification-84633.html","84633")</f>
        <v>84633</v>
      </c>
      <c r="E2639" s="5">
        <v>146858</v>
      </c>
      <c r="F2639" s="5" t="s">
        <v>10</v>
      </c>
      <c r="G2639" s="5" t="s">
        <v>11</v>
      </c>
      <c r="H2639" s="3" t="s">
        <v>81</v>
      </c>
    </row>
    <row r="2640" spans="1:8" ht="13.8" x14ac:dyDescent="0.25">
      <c r="A2640" s="3" t="s">
        <v>2902</v>
      </c>
      <c r="B2640" s="3" t="s">
        <v>3240</v>
      </c>
      <c r="C2640" s="5"/>
      <c r="D2640" s="4" t="str">
        <f>HYPERLINK("http://www.intercariforef.org/formations/certification-84637.html","84637")</f>
        <v>84637</v>
      </c>
      <c r="E2640" s="5">
        <v>146862</v>
      </c>
      <c r="F2640" s="5" t="s">
        <v>10</v>
      </c>
      <c r="G2640" s="5" t="s">
        <v>11</v>
      </c>
      <c r="H2640" s="3" t="s">
        <v>81</v>
      </c>
    </row>
    <row r="2641" spans="1:8" ht="13.8" x14ac:dyDescent="0.25">
      <c r="A2641" s="3" t="s">
        <v>2902</v>
      </c>
      <c r="B2641" s="3" t="s">
        <v>3241</v>
      </c>
      <c r="C2641" s="5"/>
      <c r="D2641" s="4" t="str">
        <f>HYPERLINK("http://www.intercariforef.org/formations/certification-72753.html","72753")</f>
        <v>72753</v>
      </c>
      <c r="E2641" s="5">
        <v>146856</v>
      </c>
      <c r="F2641" s="5" t="s">
        <v>10</v>
      </c>
      <c r="G2641" s="5" t="s">
        <v>11</v>
      </c>
      <c r="H2641" s="3" t="s">
        <v>81</v>
      </c>
    </row>
    <row r="2642" spans="1:8" ht="13.8" x14ac:dyDescent="0.25">
      <c r="A2642" s="3" t="s">
        <v>2902</v>
      </c>
      <c r="B2642" s="3" t="s">
        <v>3242</v>
      </c>
      <c r="C2642" s="5"/>
      <c r="D2642" s="4" t="str">
        <f>HYPERLINK("http://www.intercariforef.org/formations/certification-55897.html","55897")</f>
        <v>55897</v>
      </c>
      <c r="E2642" s="5">
        <v>146844</v>
      </c>
      <c r="F2642" s="5" t="s">
        <v>10</v>
      </c>
      <c r="G2642" s="5" t="s">
        <v>11</v>
      </c>
      <c r="H2642" s="3" t="s">
        <v>81</v>
      </c>
    </row>
    <row r="2643" spans="1:8" ht="13.8" x14ac:dyDescent="0.25">
      <c r="A2643" s="3" t="s">
        <v>2902</v>
      </c>
      <c r="B2643" s="3" t="s">
        <v>3243</v>
      </c>
      <c r="C2643" s="5"/>
      <c r="D2643" s="4" t="str">
        <f>HYPERLINK("http://www.intercariforef.org/formations/certification-68834.html","68834")</f>
        <v>68834</v>
      </c>
      <c r="E2643" s="5">
        <v>146846</v>
      </c>
      <c r="F2643" s="5" t="s">
        <v>10</v>
      </c>
      <c r="G2643" s="5" t="s">
        <v>11</v>
      </c>
      <c r="H2643" s="3" t="s">
        <v>81</v>
      </c>
    </row>
    <row r="2644" spans="1:8" ht="13.8" x14ac:dyDescent="0.25">
      <c r="A2644" s="3" t="s">
        <v>2902</v>
      </c>
      <c r="B2644" s="3" t="s">
        <v>3244</v>
      </c>
      <c r="C2644" s="5"/>
      <c r="D2644" s="4" t="str">
        <f>HYPERLINK("http://www.intercariforef.org/formations/certification-68833.html","68833")</f>
        <v>68833</v>
      </c>
      <c r="E2644" s="5">
        <v>146845</v>
      </c>
      <c r="F2644" s="5" t="s">
        <v>10</v>
      </c>
      <c r="G2644" s="5" t="s">
        <v>11</v>
      </c>
      <c r="H2644" s="3" t="s">
        <v>81</v>
      </c>
    </row>
    <row r="2645" spans="1:8" ht="13.8" x14ac:dyDescent="0.25">
      <c r="A2645" s="3" t="s">
        <v>2902</v>
      </c>
      <c r="B2645" s="3" t="s">
        <v>3245</v>
      </c>
      <c r="C2645" s="5"/>
      <c r="D2645" s="4" t="str">
        <f>HYPERLINK("http://www.intercariforef.org/formations/certification-68835.html","68835")</f>
        <v>68835</v>
      </c>
      <c r="E2645" s="5">
        <v>146847</v>
      </c>
      <c r="F2645" s="5" t="s">
        <v>10</v>
      </c>
      <c r="G2645" s="5" t="s">
        <v>11</v>
      </c>
      <c r="H2645" s="3" t="s">
        <v>81</v>
      </c>
    </row>
    <row r="2646" spans="1:8" ht="13.8" x14ac:dyDescent="0.25">
      <c r="A2646" s="3" t="s">
        <v>2902</v>
      </c>
      <c r="B2646" s="3" t="s">
        <v>3246</v>
      </c>
      <c r="C2646" s="5"/>
      <c r="D2646" s="4" t="str">
        <f>HYPERLINK("http://www.intercariforef.org/formations/certification-68837.html","68837")</f>
        <v>68837</v>
      </c>
      <c r="E2646" s="5">
        <v>146848</v>
      </c>
      <c r="F2646" s="5" t="s">
        <v>10</v>
      </c>
      <c r="G2646" s="5" t="s">
        <v>11</v>
      </c>
      <c r="H2646" s="3" t="s">
        <v>81</v>
      </c>
    </row>
    <row r="2647" spans="1:8" ht="13.8" x14ac:dyDescent="0.25">
      <c r="A2647" s="3" t="s">
        <v>2902</v>
      </c>
      <c r="B2647" s="3" t="s">
        <v>3247</v>
      </c>
      <c r="C2647" s="5"/>
      <c r="D2647" s="4" t="str">
        <f>HYPERLINK("http://www.intercariforef.org/formations/certification-68838.html","68838")</f>
        <v>68838</v>
      </c>
      <c r="E2647" s="5">
        <v>146849</v>
      </c>
      <c r="F2647" s="5" t="s">
        <v>10</v>
      </c>
      <c r="G2647" s="5" t="s">
        <v>11</v>
      </c>
      <c r="H2647" s="3" t="s">
        <v>81</v>
      </c>
    </row>
    <row r="2648" spans="1:8" ht="27.6" x14ac:dyDescent="0.25">
      <c r="A2648" s="3" t="s">
        <v>2902</v>
      </c>
      <c r="B2648" s="3" t="s">
        <v>3248</v>
      </c>
      <c r="C2648" s="5"/>
      <c r="D2648" s="4" t="str">
        <f>HYPERLINK("http://www.intercariforef.org/formations/certification-68844.html","68844")</f>
        <v>68844</v>
      </c>
      <c r="E2648" s="5">
        <v>146853</v>
      </c>
      <c r="F2648" s="5" t="s">
        <v>10</v>
      </c>
      <c r="G2648" s="5" t="s">
        <v>11</v>
      </c>
      <c r="H2648" s="3" t="s">
        <v>81</v>
      </c>
    </row>
    <row r="2649" spans="1:8" ht="13.8" x14ac:dyDescent="0.25">
      <c r="A2649" s="3" t="s">
        <v>2902</v>
      </c>
      <c r="B2649" s="3" t="s">
        <v>3249</v>
      </c>
      <c r="C2649" s="5"/>
      <c r="D2649" s="4" t="str">
        <f>HYPERLINK("http://www.intercariforef.org/formations/certification-68839.html","68839")</f>
        <v>68839</v>
      </c>
      <c r="E2649" s="5">
        <v>146850</v>
      </c>
      <c r="F2649" s="5" t="s">
        <v>10</v>
      </c>
      <c r="G2649" s="5" t="s">
        <v>11</v>
      </c>
      <c r="H2649" s="3" t="s">
        <v>81</v>
      </c>
    </row>
    <row r="2650" spans="1:8" ht="13.8" x14ac:dyDescent="0.25">
      <c r="A2650" s="3" t="s">
        <v>2902</v>
      </c>
      <c r="B2650" s="3" t="s">
        <v>3250</v>
      </c>
      <c r="C2650" s="5"/>
      <c r="D2650" s="4" t="str">
        <f>HYPERLINK("http://www.intercariforef.org/formations/certification-68841.html","68841")</f>
        <v>68841</v>
      </c>
      <c r="E2650" s="5">
        <v>146851</v>
      </c>
      <c r="F2650" s="5" t="s">
        <v>10</v>
      </c>
      <c r="G2650" s="5" t="s">
        <v>11</v>
      </c>
      <c r="H2650" s="3" t="s">
        <v>81</v>
      </c>
    </row>
    <row r="2651" spans="1:8" ht="13.8" x14ac:dyDescent="0.25">
      <c r="A2651" s="3" t="s">
        <v>2902</v>
      </c>
      <c r="B2651" s="3" t="s">
        <v>3251</v>
      </c>
      <c r="C2651" s="5"/>
      <c r="D2651" s="4" t="str">
        <f>HYPERLINK("http://www.intercariforef.org/formations/certification-68843.html","68843")</f>
        <v>68843</v>
      </c>
      <c r="E2651" s="5">
        <v>146852</v>
      </c>
      <c r="F2651" s="5" t="s">
        <v>10</v>
      </c>
      <c r="G2651" s="5" t="s">
        <v>11</v>
      </c>
      <c r="H2651" s="3" t="s">
        <v>81</v>
      </c>
    </row>
    <row r="2652" spans="1:8" ht="13.8" x14ac:dyDescent="0.25">
      <c r="A2652" s="3" t="s">
        <v>2902</v>
      </c>
      <c r="B2652" s="3" t="s">
        <v>3252</v>
      </c>
      <c r="C2652" s="5"/>
      <c r="D2652" s="4" t="str">
        <f>HYPERLINK("http://www.intercariforef.org/formations/certification-84636.html","84636")</f>
        <v>84636</v>
      </c>
      <c r="E2652" s="5">
        <v>146861</v>
      </c>
      <c r="F2652" s="5" t="s">
        <v>10</v>
      </c>
      <c r="G2652" s="5" t="s">
        <v>11</v>
      </c>
      <c r="H2652" s="3" t="s">
        <v>81</v>
      </c>
    </row>
    <row r="2653" spans="1:8" ht="13.8" x14ac:dyDescent="0.25">
      <c r="A2653" s="3" t="s">
        <v>2902</v>
      </c>
      <c r="B2653" s="3" t="s">
        <v>3253</v>
      </c>
      <c r="C2653" s="5"/>
      <c r="D2653" s="4" t="str">
        <f>HYPERLINK("http://www.intercariforef.org/formations/certification-68846.html","68846")</f>
        <v>68846</v>
      </c>
      <c r="E2653" s="5">
        <v>146854</v>
      </c>
      <c r="F2653" s="5" t="s">
        <v>10</v>
      </c>
      <c r="G2653" s="5" t="s">
        <v>11</v>
      </c>
      <c r="H2653" s="3" t="s">
        <v>81</v>
      </c>
    </row>
    <row r="2654" spans="1:8" ht="13.8" x14ac:dyDescent="0.25">
      <c r="A2654" s="3" t="s">
        <v>2902</v>
      </c>
      <c r="B2654" s="3" t="s">
        <v>3254</v>
      </c>
      <c r="C2654" s="5"/>
      <c r="D2654" s="4" t="str">
        <f>HYPERLINK("http://www.intercariforef.org/formations/certification-55894.html","55894")</f>
        <v>55894</v>
      </c>
      <c r="E2654" s="5">
        <v>146841</v>
      </c>
      <c r="F2654" s="5" t="s">
        <v>10</v>
      </c>
      <c r="G2654" s="5" t="s">
        <v>11</v>
      </c>
      <c r="H2654" s="3" t="s">
        <v>81</v>
      </c>
    </row>
    <row r="2655" spans="1:8" ht="13.8" x14ac:dyDescent="0.25">
      <c r="A2655" s="3" t="s">
        <v>2902</v>
      </c>
      <c r="B2655" s="3" t="s">
        <v>3255</v>
      </c>
      <c r="C2655" s="5"/>
      <c r="D2655" s="4" t="str">
        <f>HYPERLINK("http://www.intercariforef.org/formations/certification-84632.html","84632")</f>
        <v>84632</v>
      </c>
      <c r="E2655" s="5">
        <v>146857</v>
      </c>
      <c r="F2655" s="5" t="s">
        <v>10</v>
      </c>
      <c r="G2655" s="5" t="s">
        <v>11</v>
      </c>
      <c r="H2655" s="3" t="s">
        <v>81</v>
      </c>
    </row>
    <row r="2656" spans="1:8" ht="13.8" x14ac:dyDescent="0.25">
      <c r="A2656" s="3" t="s">
        <v>2902</v>
      </c>
      <c r="B2656" s="3" t="s">
        <v>3256</v>
      </c>
      <c r="C2656" s="5"/>
      <c r="D2656" s="4" t="str">
        <f>HYPERLINK("http://www.intercariforef.org/formations/certification-84638.html","84638")</f>
        <v>84638</v>
      </c>
      <c r="E2656" s="5">
        <v>146863</v>
      </c>
      <c r="F2656" s="5" t="s">
        <v>10</v>
      </c>
      <c r="G2656" s="5" t="s">
        <v>11</v>
      </c>
      <c r="H2656" s="3" t="s">
        <v>81</v>
      </c>
    </row>
    <row r="2657" spans="1:8" ht="13.8" x14ac:dyDescent="0.25">
      <c r="A2657" s="3" t="s">
        <v>2902</v>
      </c>
      <c r="B2657" s="3" t="s">
        <v>3257</v>
      </c>
      <c r="C2657" s="5"/>
      <c r="D2657" s="4" t="str">
        <f>HYPERLINK("http://www.intercariforef.org/formations/certification-72751.html","72751")</f>
        <v>72751</v>
      </c>
      <c r="E2657" s="5">
        <v>146855</v>
      </c>
      <c r="F2657" s="5" t="s">
        <v>10</v>
      </c>
      <c r="G2657" s="5" t="s">
        <v>11</v>
      </c>
      <c r="H2657" s="3" t="s">
        <v>81</v>
      </c>
    </row>
    <row r="2658" spans="1:8" ht="13.8" x14ac:dyDescent="0.25">
      <c r="A2658" s="3" t="s">
        <v>2902</v>
      </c>
      <c r="B2658" s="3" t="s">
        <v>3258</v>
      </c>
      <c r="C2658" s="5"/>
      <c r="D2658" s="4" t="str">
        <f>HYPERLINK("http://www.intercariforef.org/formations/certification-84635.html","84635")</f>
        <v>84635</v>
      </c>
      <c r="E2658" s="5">
        <v>146860</v>
      </c>
      <c r="F2658" s="5" t="s">
        <v>10</v>
      </c>
      <c r="G2658" s="5" t="s">
        <v>11</v>
      </c>
      <c r="H2658" s="3" t="s">
        <v>81</v>
      </c>
    </row>
    <row r="2659" spans="1:8" ht="13.8" x14ac:dyDescent="0.25">
      <c r="A2659" s="3" t="s">
        <v>2902</v>
      </c>
      <c r="B2659" s="3" t="s">
        <v>3259</v>
      </c>
      <c r="C2659" s="5"/>
      <c r="D2659" s="4" t="str">
        <f>HYPERLINK("http://www.intercariforef.org/formations/certification-77689.html","77689")</f>
        <v>77689</v>
      </c>
      <c r="E2659" s="5">
        <v>162900</v>
      </c>
      <c r="F2659" s="5" t="s">
        <v>721</v>
      </c>
      <c r="G2659" s="5" t="s">
        <v>11</v>
      </c>
      <c r="H2659" s="3" t="s">
        <v>3260</v>
      </c>
    </row>
    <row r="2660" spans="1:8" ht="27.6" x14ac:dyDescent="0.25">
      <c r="A2660" s="3" t="s">
        <v>2902</v>
      </c>
      <c r="B2660" s="3" t="s">
        <v>3261</v>
      </c>
      <c r="C2660" s="5"/>
      <c r="D2660" s="4" t="str">
        <f>HYPERLINK("http://www.intercariforef.org/formations/certification-77691.html","77691")</f>
        <v>77691</v>
      </c>
      <c r="E2660" s="5">
        <v>162904</v>
      </c>
      <c r="F2660" s="5" t="s">
        <v>721</v>
      </c>
      <c r="G2660" s="5" t="s">
        <v>11</v>
      </c>
      <c r="H2660" s="3" t="s">
        <v>3260</v>
      </c>
    </row>
    <row r="2661" spans="1:8" ht="13.8" x14ac:dyDescent="0.25">
      <c r="A2661" s="3" t="s">
        <v>2902</v>
      </c>
      <c r="B2661" s="3" t="s">
        <v>3262</v>
      </c>
      <c r="C2661" s="5"/>
      <c r="D2661" s="4" t="str">
        <f>HYPERLINK("http://www.intercariforef.org/formations/certification-77690.html","77690")</f>
        <v>77690</v>
      </c>
      <c r="E2661" s="5">
        <v>162906</v>
      </c>
      <c r="F2661" s="5" t="s">
        <v>721</v>
      </c>
      <c r="G2661" s="5" t="s">
        <v>11</v>
      </c>
      <c r="H2661" s="3" t="s">
        <v>3260</v>
      </c>
    </row>
    <row r="2662" spans="1:8" ht="27.6" x14ac:dyDescent="0.25">
      <c r="A2662" s="3" t="s">
        <v>2902</v>
      </c>
      <c r="B2662" s="3" t="s">
        <v>3263</v>
      </c>
      <c r="C2662" s="5"/>
      <c r="D2662" s="4" t="str">
        <f>HYPERLINK("http://www.intercariforef.org/formations/certification-84558.html","84558")</f>
        <v>84558</v>
      </c>
      <c r="E2662" s="5">
        <v>146866</v>
      </c>
      <c r="F2662" s="5" t="s">
        <v>10</v>
      </c>
      <c r="G2662" s="5" t="s">
        <v>11</v>
      </c>
      <c r="H2662" s="3" t="s">
        <v>3264</v>
      </c>
    </row>
    <row r="2663" spans="1:8" ht="27.6" x14ac:dyDescent="0.25">
      <c r="A2663" s="3" t="s">
        <v>2902</v>
      </c>
      <c r="B2663" s="3" t="s">
        <v>3265</v>
      </c>
      <c r="C2663" s="5"/>
      <c r="D2663" s="4" t="str">
        <f>HYPERLINK("http://www.intercariforef.org/formations/certification-84532.html","84532")</f>
        <v>84532</v>
      </c>
      <c r="E2663" s="5">
        <v>146865</v>
      </c>
      <c r="F2663" s="5" t="s">
        <v>10</v>
      </c>
      <c r="G2663" s="5" t="s">
        <v>11</v>
      </c>
      <c r="H2663" s="3" t="s">
        <v>3264</v>
      </c>
    </row>
    <row r="2664" spans="1:8" ht="27.6" x14ac:dyDescent="0.25">
      <c r="A2664" s="3" t="s">
        <v>2902</v>
      </c>
      <c r="B2664" s="3" t="s">
        <v>3266</v>
      </c>
      <c r="C2664" s="5"/>
      <c r="D2664" s="4" t="str">
        <f>HYPERLINK("http://www.intercariforef.org/formations/certification-84554.html","84554")</f>
        <v>84554</v>
      </c>
      <c r="E2664" s="5">
        <v>146838</v>
      </c>
      <c r="F2664" s="5" t="s">
        <v>10</v>
      </c>
      <c r="G2664" s="5" t="s">
        <v>11</v>
      </c>
      <c r="H2664" s="3" t="s">
        <v>3267</v>
      </c>
    </row>
    <row r="2665" spans="1:8" ht="27.6" x14ac:dyDescent="0.25">
      <c r="A2665" s="3" t="s">
        <v>2902</v>
      </c>
      <c r="B2665" s="3" t="s">
        <v>3268</v>
      </c>
      <c r="C2665" s="5"/>
      <c r="D2665" s="4" t="str">
        <f>HYPERLINK("http://www.intercariforef.org/formations/certification-84405.html","84405")</f>
        <v>84405</v>
      </c>
      <c r="E2665" s="5">
        <v>146839</v>
      </c>
      <c r="F2665" s="5" t="s">
        <v>10</v>
      </c>
      <c r="G2665" s="5" t="s">
        <v>11</v>
      </c>
      <c r="H2665" s="3" t="s">
        <v>3267</v>
      </c>
    </row>
    <row r="2666" spans="1:8" ht="13.8" x14ac:dyDescent="0.25">
      <c r="A2666" s="3" t="s">
        <v>2902</v>
      </c>
      <c r="B2666" s="3" t="s">
        <v>3269</v>
      </c>
      <c r="C2666" s="5"/>
      <c r="D2666" s="4" t="str">
        <f>HYPERLINK("http://www.intercariforef.org/formations/certification-85053.html","85053")</f>
        <v>85053</v>
      </c>
      <c r="E2666" s="5">
        <v>162908</v>
      </c>
      <c r="F2666" s="5" t="s">
        <v>721</v>
      </c>
      <c r="G2666" s="5" t="s">
        <v>11</v>
      </c>
      <c r="H2666" s="3"/>
    </row>
    <row r="2667" spans="1:8" ht="13.8" x14ac:dyDescent="0.25">
      <c r="A2667" s="3" t="s">
        <v>2902</v>
      </c>
      <c r="B2667" s="3" t="s">
        <v>3270</v>
      </c>
      <c r="C2667" s="5"/>
      <c r="D2667" s="4" t="str">
        <f>HYPERLINK("http://www.intercariforef.org/formations/certification-85173.html","85173")</f>
        <v>85173</v>
      </c>
      <c r="E2667" s="5">
        <v>162909</v>
      </c>
      <c r="F2667" s="5" t="s">
        <v>721</v>
      </c>
      <c r="G2667" s="5" t="s">
        <v>11</v>
      </c>
      <c r="H2667" s="3"/>
    </row>
    <row r="2668" spans="1:8" ht="13.8" x14ac:dyDescent="0.25">
      <c r="A2668" s="3" t="s">
        <v>2902</v>
      </c>
      <c r="B2668" s="3" t="s">
        <v>3271</v>
      </c>
      <c r="C2668" s="5"/>
      <c r="D2668" s="4" t="str">
        <f>HYPERLINK("http://www.intercariforef.org/formations/certification-84522.html","84522")</f>
        <v>84522</v>
      </c>
      <c r="E2668" s="5">
        <v>146867</v>
      </c>
      <c r="F2668" s="5" t="s">
        <v>10</v>
      </c>
      <c r="G2668" s="5" t="s">
        <v>11</v>
      </c>
      <c r="H2668" s="3"/>
    </row>
    <row r="2669" spans="1:8" ht="13.8" x14ac:dyDescent="0.25">
      <c r="A2669" s="3" t="s">
        <v>2902</v>
      </c>
      <c r="B2669" s="3" t="s">
        <v>3272</v>
      </c>
      <c r="C2669" s="5"/>
      <c r="D2669" s="4" t="str">
        <f>HYPERLINK("http://www.intercariforef.org/formations/certification-85077.html","85077")</f>
        <v>85077</v>
      </c>
      <c r="E2669" s="5">
        <v>162910</v>
      </c>
      <c r="F2669" s="5" t="s">
        <v>721</v>
      </c>
      <c r="G2669" s="5" t="s">
        <v>11</v>
      </c>
      <c r="H2669" s="3" t="s">
        <v>3273</v>
      </c>
    </row>
    <row r="2670" spans="1:8" ht="13.8" x14ac:dyDescent="0.25">
      <c r="A2670" s="3" t="s">
        <v>2902</v>
      </c>
      <c r="B2670" s="3" t="s">
        <v>3274</v>
      </c>
      <c r="C2670" s="5"/>
      <c r="D2670" s="4" t="str">
        <f>HYPERLINK("http://www.intercariforef.org/formations/certification-85078.html","85078")</f>
        <v>85078</v>
      </c>
      <c r="E2670" s="5">
        <v>162911</v>
      </c>
      <c r="F2670" s="5" t="s">
        <v>721</v>
      </c>
      <c r="G2670" s="5" t="s">
        <v>11</v>
      </c>
      <c r="H2670" s="3" t="s">
        <v>3273</v>
      </c>
    </row>
    <row r="2671" spans="1:8" ht="13.8" x14ac:dyDescent="0.25">
      <c r="A2671" s="3" t="s">
        <v>2902</v>
      </c>
      <c r="B2671" s="3" t="s">
        <v>3275</v>
      </c>
      <c r="C2671" s="5"/>
      <c r="D2671" s="4" t="str">
        <f>HYPERLINK("http://www.intercariforef.org/formations/certification-85383.html","85383")</f>
        <v>85383</v>
      </c>
      <c r="E2671" s="5">
        <v>162912</v>
      </c>
      <c r="F2671" s="5" t="s">
        <v>721</v>
      </c>
      <c r="G2671" s="5" t="s">
        <v>11</v>
      </c>
      <c r="H2671" s="3" t="s">
        <v>3276</v>
      </c>
    </row>
    <row r="2672" spans="1:8" ht="27.6" x14ac:dyDescent="0.25">
      <c r="A2672" s="3" t="s">
        <v>2902</v>
      </c>
      <c r="B2672" s="3" t="s">
        <v>3277</v>
      </c>
      <c r="C2672" s="5"/>
      <c r="D2672" s="4" t="str">
        <f>HYPERLINK("http://www.intercariforef.org/formations/certification-84385.html","84385")</f>
        <v>84385</v>
      </c>
      <c r="E2672" s="5">
        <v>146840</v>
      </c>
      <c r="F2672" s="5" t="s">
        <v>10</v>
      </c>
      <c r="G2672" s="5" t="s">
        <v>11</v>
      </c>
      <c r="H2672" s="3" t="s">
        <v>3278</v>
      </c>
    </row>
    <row r="2673" spans="1:8" ht="13.8" x14ac:dyDescent="0.25">
      <c r="A2673" s="3" t="s">
        <v>2902</v>
      </c>
      <c r="B2673" s="3" t="s">
        <v>3279</v>
      </c>
      <c r="C2673" s="5"/>
      <c r="D2673" s="4" t="str">
        <f>HYPERLINK("http://www.intercariforef.org/formations/certification-84168.html","84168")</f>
        <v>84168</v>
      </c>
      <c r="E2673" s="5">
        <v>131204</v>
      </c>
      <c r="F2673" s="5" t="s">
        <v>10</v>
      </c>
      <c r="G2673" s="5" t="s">
        <v>11</v>
      </c>
      <c r="H2673" s="3" t="s">
        <v>3280</v>
      </c>
    </row>
    <row r="2674" spans="1:8" ht="13.8" x14ac:dyDescent="0.25">
      <c r="A2674" s="3" t="s">
        <v>2902</v>
      </c>
      <c r="B2674" s="3" t="s">
        <v>3281</v>
      </c>
      <c r="C2674" s="5"/>
      <c r="D2674" s="4" t="str">
        <f>HYPERLINK("http://www.intercariforef.org/formations/certification-84517.html","84517")</f>
        <v>84517</v>
      </c>
      <c r="E2674" s="5">
        <v>164617</v>
      </c>
      <c r="F2674" s="5" t="s">
        <v>3282</v>
      </c>
      <c r="G2674" s="5" t="s">
        <v>11</v>
      </c>
      <c r="H2674" s="3"/>
    </row>
  </sheetData>
  <sheetProtection selectLockedCells="1" selectUnlockedCells="1"/>
  <autoFilter ref="A1:H2674"/>
  <pageMargins left="0.5" right="0.5" top="0.8" bottom="0.7" header="0.5" footer="0.5"/>
  <pageSetup paperSize="9" scale="34" firstPageNumber="0" orientation="landscape" horizontalDpi="300" verticalDpi="300"/>
  <headerFooter alignWithMargins="0">
    <oddHeader>&amp;LCaisse des dépôts&amp;CListe des formations éligibles&amp;R05/01/2016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Formations</vt:lpstr>
      <vt:lpstr>Formations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formation pole emploi</dc:title>
  <dc:creator>Thibault</dc:creator>
  <cp:keywords>pole emploi, liste</cp:keywords>
  <cp:lastModifiedBy>Thibault</cp:lastModifiedBy>
  <dcterms:created xsi:type="dcterms:W3CDTF">2019-12-17T11:11:31Z</dcterms:created>
  <dcterms:modified xsi:type="dcterms:W3CDTF">2019-12-17T11:30:49Z</dcterms:modified>
</cp:coreProperties>
</file>